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rivo\Documents\Ehrenamt\PV\Leitfaden\"/>
    </mc:Choice>
  </mc:AlternateContent>
  <xr:revisionPtr revIDLastSave="0" documentId="13_ncr:1_{F1631FD4-B45E-4A35-B88E-5D8DCC9AFC8E}" xr6:coauthVersionLast="47" xr6:coauthVersionMax="47" xr10:uidLastSave="{00000000-0000-0000-0000-000000000000}"/>
  <bookViews>
    <workbookView xWindow="765" yWindow="855" windowWidth="26280" windowHeight="14265" xr2:uid="{00000000-000D-0000-FFFF-FFFF00000000}"/>
  </bookViews>
  <sheets>
    <sheet name="Wirtschaftlichkeit &amp; Klima" sheetId="2" r:id="rId1"/>
    <sheet name="Eigenverbrauchsquote" sheetId="7" r:id="rId2"/>
    <sheet name="Hinweise" sheetId="3" r:id="rId3"/>
    <sheet name="Einspeisevergütung" sheetId="4" r:id="rId4"/>
    <sheet name="Rendite" sheetId="5" r:id="rId5"/>
    <sheet name="Tilgung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2" l="1"/>
  <c r="G55" i="2"/>
  <c r="E55" i="2"/>
  <c r="F33" i="2"/>
  <c r="G33" i="2"/>
  <c r="E33" i="2"/>
  <c r="F52" i="2"/>
  <c r="G52" i="2"/>
  <c r="E52" i="2" l="1"/>
  <c r="F49" i="2"/>
  <c r="G49" i="2"/>
  <c r="E49" i="2"/>
  <c r="C27" i="2"/>
  <c r="F29" i="2"/>
  <c r="G28" i="2"/>
  <c r="F15" i="2"/>
  <c r="F53" i="2" s="1"/>
  <c r="G15" i="2"/>
  <c r="G53" i="2" s="1"/>
  <c r="E15" i="2"/>
  <c r="E53" i="2" s="1"/>
  <c r="F13" i="2"/>
  <c r="G13" i="2"/>
  <c r="E13" i="2"/>
  <c r="B8" i="6"/>
  <c r="G15" i="6" s="1"/>
  <c r="B9" i="6"/>
  <c r="E4" i="6"/>
  <c r="F4" i="6" s="1"/>
  <c r="F75" i="2"/>
  <c r="G75" i="2"/>
  <c r="E75" i="2"/>
  <c r="C77" i="2"/>
  <c r="G22" i="2"/>
  <c r="G23" i="2" s="1"/>
  <c r="G35" i="2" s="1"/>
  <c r="G16" i="2"/>
  <c r="G12" i="2"/>
  <c r="B8" i="5"/>
  <c r="H8" i="5" s="1"/>
  <c r="F5" i="5"/>
  <c r="G5" i="5" s="1"/>
  <c r="G18" i="2" l="1"/>
  <c r="G51" i="2" s="1"/>
  <c r="E28" i="2"/>
  <c r="G29" i="2"/>
  <c r="G74" i="2"/>
  <c r="G80" i="2" s="1"/>
  <c r="G38" i="6"/>
  <c r="G30" i="6"/>
  <c r="G22" i="6"/>
  <c r="G14" i="6"/>
  <c r="G4" i="6"/>
  <c r="G37" i="6"/>
  <c r="G29" i="6"/>
  <c r="G21" i="6"/>
  <c r="G13" i="6"/>
  <c r="G7" i="6"/>
  <c r="G20" i="6"/>
  <c r="G35" i="6"/>
  <c r="G11" i="6"/>
  <c r="G5" i="6"/>
  <c r="G34" i="6"/>
  <c r="G26" i="6"/>
  <c r="G18" i="6"/>
  <c r="G10" i="6"/>
  <c r="G28" i="6"/>
  <c r="G6" i="6"/>
  <c r="G19" i="6"/>
  <c r="G41" i="6"/>
  <c r="G33" i="6"/>
  <c r="G25" i="6"/>
  <c r="G17" i="6"/>
  <c r="G9" i="6"/>
  <c r="G36" i="6"/>
  <c r="G12" i="6"/>
  <c r="G27" i="6"/>
  <c r="G40" i="6"/>
  <c r="G32" i="6"/>
  <c r="G24" i="6"/>
  <c r="G16" i="6"/>
  <c r="G8" i="6"/>
  <c r="G39" i="6"/>
  <c r="G31" i="6"/>
  <c r="G23" i="6"/>
  <c r="E5" i="6"/>
  <c r="F5" i="6" s="1"/>
  <c r="G31" i="2"/>
  <c r="H22" i="5"/>
  <c r="H23" i="5"/>
  <c r="H15" i="5"/>
  <c r="H14" i="5"/>
  <c r="H7" i="5"/>
  <c r="H6" i="5"/>
  <c r="H21" i="5"/>
  <c r="H13" i="5"/>
  <c r="H20" i="5"/>
  <c r="H12" i="5"/>
  <c r="H5" i="5"/>
  <c r="F6" i="5" s="1"/>
  <c r="G6" i="5" s="1"/>
  <c r="H17" i="5"/>
  <c r="H9" i="5"/>
  <c r="H19" i="5"/>
  <c r="H11" i="5"/>
  <c r="H18" i="5"/>
  <c r="H10" i="5"/>
  <c r="H24" i="5"/>
  <c r="H16" i="5"/>
  <c r="G36" i="2" l="1"/>
  <c r="G34" i="2"/>
  <c r="G67" i="2"/>
  <c r="G68" i="2" s="1"/>
  <c r="G76" i="2"/>
  <c r="G77" i="2" s="1"/>
  <c r="G78" i="2" s="1"/>
  <c r="E6" i="6"/>
  <c r="F6" i="6" s="1"/>
  <c r="G37" i="2"/>
  <c r="G44" i="2" s="1"/>
  <c r="G40" i="2"/>
  <c r="G42" i="2" s="1"/>
  <c r="F7" i="5"/>
  <c r="G7" i="5" s="1"/>
  <c r="G79" i="2" l="1"/>
  <c r="E7" i="6"/>
  <c r="F8" i="5"/>
  <c r="G8" i="5" s="1"/>
  <c r="F7" i="6" l="1"/>
  <c r="E8" i="6" s="1"/>
  <c r="F9" i="5"/>
  <c r="G9" i="5" s="1"/>
  <c r="F8" i="6" l="1"/>
  <c r="E9" i="6" s="1"/>
  <c r="F10" i="5"/>
  <c r="G10" i="5" s="1"/>
  <c r="F9" i="6" l="1"/>
  <c r="E10" i="6" s="1"/>
  <c r="F10" i="6" s="1"/>
  <c r="E11" i="6" s="1"/>
  <c r="F11" i="5"/>
  <c r="G11" i="5" s="1"/>
  <c r="F11" i="6" l="1"/>
  <c r="E12" i="6" s="1"/>
  <c r="F12" i="6" s="1"/>
  <c r="E13" i="6" s="1"/>
  <c r="F13" i="6" s="1"/>
  <c r="E14" i="6" s="1"/>
  <c r="F12" i="5"/>
  <c r="G12" i="5" s="1"/>
  <c r="F14" i="6" l="1"/>
  <c r="E15" i="6" s="1"/>
  <c r="F15" i="6" s="1"/>
  <c r="E16" i="6" s="1"/>
  <c r="F13" i="5"/>
  <c r="G13" i="5" s="1"/>
  <c r="F16" i="6" l="1"/>
  <c r="E17" i="6" s="1"/>
  <c r="F14" i="5"/>
  <c r="G14" i="5" s="1"/>
  <c r="F17" i="6" l="1"/>
  <c r="E18" i="6" s="1"/>
  <c r="F15" i="5"/>
  <c r="G15" i="5" s="1"/>
  <c r="F18" i="6" l="1"/>
  <c r="E19" i="6" s="1"/>
  <c r="F16" i="5"/>
  <c r="G16" i="5" s="1"/>
  <c r="F19" i="6" l="1"/>
  <c r="E20" i="6"/>
  <c r="F17" i="5"/>
  <c r="G17" i="5" s="1"/>
  <c r="F20" i="6" l="1"/>
  <c r="E21" i="6" s="1"/>
  <c r="F18" i="5"/>
  <c r="G18" i="5" s="1"/>
  <c r="F21" i="6" l="1"/>
  <c r="E22" i="6" s="1"/>
  <c r="F19" i="5"/>
  <c r="G19" i="5" s="1"/>
  <c r="F22" i="6" l="1"/>
  <c r="E23" i="6" s="1"/>
  <c r="F20" i="5"/>
  <c r="G20" i="5" s="1"/>
  <c r="F23" i="6" l="1"/>
  <c r="E24" i="6" s="1"/>
  <c r="F21" i="5"/>
  <c r="G21" i="5" s="1"/>
  <c r="F24" i="6" l="1"/>
  <c r="E25" i="6" s="1"/>
  <c r="F22" i="5"/>
  <c r="G22" i="5" s="1"/>
  <c r="F25" i="6" l="1"/>
  <c r="E26" i="6" s="1"/>
  <c r="F23" i="5"/>
  <c r="G23" i="5" s="1"/>
  <c r="F22" i="2"/>
  <c r="E22" i="2"/>
  <c r="D6" i="4"/>
  <c r="C6" i="4"/>
  <c r="B6" i="4"/>
  <c r="D5" i="4"/>
  <c r="C5" i="4"/>
  <c r="B5" i="4"/>
  <c r="C8" i="4"/>
  <c r="A12" i="4" l="1"/>
  <c r="C9" i="4"/>
  <c r="F26" i="6"/>
  <c r="E27" i="6" s="1"/>
  <c r="F24" i="5"/>
  <c r="G24" i="5" s="1"/>
  <c r="F16" i="2"/>
  <c r="F27" i="6" l="1"/>
  <c r="E28" i="6" s="1"/>
  <c r="F25" i="5"/>
  <c r="C14" i="4"/>
  <c r="D14" i="4"/>
  <c r="B14" i="4"/>
  <c r="B13" i="4"/>
  <c r="D13" i="4"/>
  <c r="C13" i="4"/>
  <c r="F12" i="2"/>
  <c r="F23" i="2"/>
  <c r="F35" i="2" s="1"/>
  <c r="E23" i="2"/>
  <c r="E12" i="2"/>
  <c r="E16" i="2"/>
  <c r="E18" i="2" l="1"/>
  <c r="F18" i="2"/>
  <c r="F51" i="2" s="1"/>
  <c r="E51" i="2"/>
  <c r="E29" i="2"/>
  <c r="E35" i="2"/>
  <c r="F74" i="2"/>
  <c r="F80" i="2" s="1"/>
  <c r="F28" i="6"/>
  <c r="E29" i="6" s="1"/>
  <c r="E74" i="2"/>
  <c r="E31" i="2"/>
  <c r="E36" i="2" s="1"/>
  <c r="F31" i="2"/>
  <c r="F34" i="2" s="1"/>
  <c r="B20" i="4"/>
  <c r="C20" i="4"/>
  <c r="D20" i="4"/>
  <c r="B21" i="4"/>
  <c r="C21" i="4"/>
  <c r="D21" i="4"/>
  <c r="B22" i="4"/>
  <c r="C22" i="4"/>
  <c r="D22" i="4"/>
  <c r="B23" i="4"/>
  <c r="C23" i="4"/>
  <c r="D23" i="4"/>
  <c r="G23" i="4" s="1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G31" i="4" s="1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G39" i="4" s="1"/>
  <c r="B40" i="4"/>
  <c r="C40" i="4"/>
  <c r="D40" i="4"/>
  <c r="B41" i="4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G47" i="4" s="1"/>
  <c r="B48" i="4"/>
  <c r="C48" i="4"/>
  <c r="D48" i="4"/>
  <c r="B49" i="4"/>
  <c r="C49" i="4"/>
  <c r="D49" i="4"/>
  <c r="B50" i="4"/>
  <c r="C50" i="4"/>
  <c r="D50" i="4"/>
  <c r="B51" i="4"/>
  <c r="C51" i="4"/>
  <c r="D51" i="4"/>
  <c r="B52" i="4"/>
  <c r="C52" i="4"/>
  <c r="D52" i="4"/>
  <c r="B53" i="4"/>
  <c r="C53" i="4"/>
  <c r="D53" i="4"/>
  <c r="B54" i="4"/>
  <c r="C54" i="4"/>
  <c r="D54" i="4"/>
  <c r="B55" i="4"/>
  <c r="C55" i="4"/>
  <c r="D55" i="4"/>
  <c r="G55" i="4" s="1"/>
  <c r="B56" i="4"/>
  <c r="C56" i="4"/>
  <c r="D56" i="4"/>
  <c r="B57" i="4"/>
  <c r="C57" i="4"/>
  <c r="D57" i="4"/>
  <c r="B58" i="4"/>
  <c r="C58" i="4"/>
  <c r="D58" i="4"/>
  <c r="B59" i="4"/>
  <c r="C59" i="4"/>
  <c r="D59" i="4"/>
  <c r="B60" i="4"/>
  <c r="C60" i="4"/>
  <c r="D60" i="4"/>
  <c r="B61" i="4"/>
  <c r="C61" i="4"/>
  <c r="D61" i="4"/>
  <c r="B62" i="4"/>
  <c r="C62" i="4"/>
  <c r="D62" i="4"/>
  <c r="B63" i="4"/>
  <c r="C63" i="4"/>
  <c r="D63" i="4"/>
  <c r="G63" i="4" s="1"/>
  <c r="B64" i="4"/>
  <c r="C64" i="4"/>
  <c r="D64" i="4"/>
  <c r="B65" i="4"/>
  <c r="C65" i="4"/>
  <c r="D65" i="4"/>
  <c r="B66" i="4"/>
  <c r="C66" i="4"/>
  <c r="D66" i="4"/>
  <c r="B67" i="4"/>
  <c r="C67" i="4"/>
  <c r="D67" i="4"/>
  <c r="B68" i="4"/>
  <c r="C68" i="4"/>
  <c r="D68" i="4"/>
  <c r="B69" i="4"/>
  <c r="C69" i="4"/>
  <c r="D69" i="4"/>
  <c r="B70" i="4"/>
  <c r="C70" i="4"/>
  <c r="D70" i="4"/>
  <c r="B71" i="4"/>
  <c r="C71" i="4"/>
  <c r="D71" i="4"/>
  <c r="G71" i="4" s="1"/>
  <c r="B72" i="4"/>
  <c r="C72" i="4"/>
  <c r="D72" i="4"/>
  <c r="B73" i="4"/>
  <c r="C73" i="4"/>
  <c r="D73" i="4"/>
  <c r="B74" i="4"/>
  <c r="C74" i="4"/>
  <c r="D74" i="4"/>
  <c r="B75" i="4"/>
  <c r="C75" i="4"/>
  <c r="D75" i="4"/>
  <c r="B76" i="4"/>
  <c r="C76" i="4"/>
  <c r="D76" i="4"/>
  <c r="B77" i="4"/>
  <c r="C77" i="4"/>
  <c r="D77" i="4"/>
  <c r="B78" i="4"/>
  <c r="C78" i="4"/>
  <c r="D78" i="4"/>
  <c r="B79" i="4"/>
  <c r="C79" i="4"/>
  <c r="D79" i="4"/>
  <c r="G79" i="4" s="1"/>
  <c r="B80" i="4"/>
  <c r="C80" i="4"/>
  <c r="D80" i="4"/>
  <c r="B81" i="4"/>
  <c r="C81" i="4"/>
  <c r="D81" i="4"/>
  <c r="B82" i="4"/>
  <c r="C82" i="4"/>
  <c r="D82" i="4"/>
  <c r="B83" i="4"/>
  <c r="C83" i="4"/>
  <c r="D83" i="4"/>
  <c r="B84" i="4"/>
  <c r="C84" i="4"/>
  <c r="D84" i="4"/>
  <c r="B85" i="4"/>
  <c r="C85" i="4"/>
  <c r="D85" i="4"/>
  <c r="B86" i="4"/>
  <c r="C86" i="4"/>
  <c r="D86" i="4"/>
  <c r="B87" i="4"/>
  <c r="C87" i="4"/>
  <c r="D87" i="4"/>
  <c r="G87" i="4" s="1"/>
  <c r="B88" i="4"/>
  <c r="C88" i="4"/>
  <c r="D88" i="4"/>
  <c r="B89" i="4"/>
  <c r="C89" i="4"/>
  <c r="D89" i="4"/>
  <c r="B90" i="4"/>
  <c r="C90" i="4"/>
  <c r="D90" i="4"/>
  <c r="B91" i="4"/>
  <c r="C91" i="4"/>
  <c r="D91" i="4"/>
  <c r="B92" i="4"/>
  <c r="C92" i="4"/>
  <c r="D92" i="4"/>
  <c r="B93" i="4"/>
  <c r="C93" i="4"/>
  <c r="D93" i="4"/>
  <c r="B94" i="4"/>
  <c r="C94" i="4"/>
  <c r="D94" i="4"/>
  <c r="B95" i="4"/>
  <c r="C95" i="4"/>
  <c r="D95" i="4"/>
  <c r="G95" i="4" s="1"/>
  <c r="B96" i="4"/>
  <c r="C96" i="4"/>
  <c r="D96" i="4"/>
  <c r="B97" i="4"/>
  <c r="C97" i="4"/>
  <c r="D97" i="4"/>
  <c r="B98" i="4"/>
  <c r="C98" i="4"/>
  <c r="D98" i="4"/>
  <c r="B99" i="4"/>
  <c r="C99" i="4"/>
  <c r="D99" i="4"/>
  <c r="B100" i="4"/>
  <c r="C100" i="4"/>
  <c r="D100" i="4"/>
  <c r="B101" i="4"/>
  <c r="C101" i="4"/>
  <c r="D101" i="4"/>
  <c r="B102" i="4"/>
  <c r="C102" i="4"/>
  <c r="D102" i="4"/>
  <c r="B103" i="4"/>
  <c r="C103" i="4"/>
  <c r="D103" i="4"/>
  <c r="G103" i="4" s="1"/>
  <c r="B104" i="4"/>
  <c r="C104" i="4"/>
  <c r="D104" i="4"/>
  <c r="B105" i="4"/>
  <c r="C105" i="4"/>
  <c r="D105" i="4"/>
  <c r="B106" i="4"/>
  <c r="C106" i="4"/>
  <c r="D106" i="4"/>
  <c r="B107" i="4"/>
  <c r="C107" i="4"/>
  <c r="D107" i="4"/>
  <c r="B108" i="4"/>
  <c r="C108" i="4"/>
  <c r="D108" i="4"/>
  <c r="B109" i="4"/>
  <c r="C109" i="4"/>
  <c r="D109" i="4"/>
  <c r="B110" i="4"/>
  <c r="C110" i="4"/>
  <c r="D110" i="4"/>
  <c r="B111" i="4"/>
  <c r="C111" i="4"/>
  <c r="D111" i="4"/>
  <c r="G111" i="4" s="1"/>
  <c r="B112" i="4"/>
  <c r="C112" i="4"/>
  <c r="D112" i="4"/>
  <c r="B113" i="4"/>
  <c r="C113" i="4"/>
  <c r="D113" i="4"/>
  <c r="B114" i="4"/>
  <c r="C114" i="4"/>
  <c r="D114" i="4"/>
  <c r="B115" i="4"/>
  <c r="C115" i="4"/>
  <c r="D115" i="4"/>
  <c r="B116" i="4"/>
  <c r="C116" i="4"/>
  <c r="D116" i="4"/>
  <c r="B117" i="4"/>
  <c r="C117" i="4"/>
  <c r="D117" i="4"/>
  <c r="B118" i="4"/>
  <c r="C118" i="4"/>
  <c r="D118" i="4"/>
  <c r="D19" i="4"/>
  <c r="C19" i="4"/>
  <c r="B19" i="4"/>
  <c r="F19" i="4" s="1"/>
  <c r="C17" i="4"/>
  <c r="D17" i="4"/>
  <c r="B17" i="4"/>
  <c r="F76" i="2" l="1"/>
  <c r="F77" i="2" s="1"/>
  <c r="F78" i="2" s="1"/>
  <c r="E34" i="2"/>
  <c r="F67" i="2"/>
  <c r="F68" i="2" s="1"/>
  <c r="E67" i="2"/>
  <c r="E68" i="2" s="1"/>
  <c r="F29" i="6"/>
  <c r="E30" i="6" s="1"/>
  <c r="E80" i="2"/>
  <c r="E76" i="2"/>
  <c r="F36" i="2"/>
  <c r="E37" i="2"/>
  <c r="E44" i="2" s="1"/>
  <c r="E40" i="2"/>
  <c r="E42" i="2" s="1"/>
  <c r="F89" i="4"/>
  <c r="F57" i="4"/>
  <c r="F49" i="4"/>
  <c r="F33" i="4"/>
  <c r="F25" i="4"/>
  <c r="F105" i="4"/>
  <c r="F97" i="4"/>
  <c r="F65" i="4"/>
  <c r="F41" i="4"/>
  <c r="F113" i="4"/>
  <c r="F73" i="4"/>
  <c r="F81" i="4"/>
  <c r="G117" i="4"/>
  <c r="G93" i="4"/>
  <c r="G69" i="4"/>
  <c r="G45" i="4"/>
  <c r="G21" i="4"/>
  <c r="G109" i="4"/>
  <c r="G77" i="4"/>
  <c r="G53" i="4"/>
  <c r="G37" i="4"/>
  <c r="G101" i="4"/>
  <c r="G85" i="4"/>
  <c r="G61" i="4"/>
  <c r="G29" i="4"/>
  <c r="G78" i="4"/>
  <c r="G110" i="4"/>
  <c r="F118" i="4"/>
  <c r="F102" i="4"/>
  <c r="F94" i="4"/>
  <c r="F86" i="4"/>
  <c r="F70" i="4"/>
  <c r="F62" i="4"/>
  <c r="F46" i="4"/>
  <c r="F30" i="4"/>
  <c r="F22" i="4"/>
  <c r="G113" i="4"/>
  <c r="G81" i="4"/>
  <c r="G49" i="4"/>
  <c r="F117" i="4"/>
  <c r="G115" i="4"/>
  <c r="F109" i="4"/>
  <c r="G107" i="4"/>
  <c r="F101" i="4"/>
  <c r="G99" i="4"/>
  <c r="F93" i="4"/>
  <c r="F91" i="4"/>
  <c r="F85" i="4"/>
  <c r="G83" i="4"/>
  <c r="F77" i="4"/>
  <c r="G75" i="4"/>
  <c r="F69" i="4"/>
  <c r="G67" i="4"/>
  <c r="F61" i="4"/>
  <c r="G59" i="4"/>
  <c r="F53" i="4"/>
  <c r="F51" i="4"/>
  <c r="F45" i="4"/>
  <c r="G43" i="4"/>
  <c r="F37" i="4"/>
  <c r="G35" i="4"/>
  <c r="F29" i="4"/>
  <c r="G27" i="4"/>
  <c r="F21" i="4"/>
  <c r="G46" i="4"/>
  <c r="F110" i="4"/>
  <c r="F78" i="4"/>
  <c r="F54" i="4"/>
  <c r="F38" i="4"/>
  <c r="F112" i="4"/>
  <c r="F104" i="4"/>
  <c r="F96" i="4"/>
  <c r="F88" i="4"/>
  <c r="F80" i="4"/>
  <c r="F72" i="4"/>
  <c r="F64" i="4"/>
  <c r="F56" i="4"/>
  <c r="F48" i="4"/>
  <c r="F40" i="4"/>
  <c r="F32" i="4"/>
  <c r="F24" i="4"/>
  <c r="G105" i="4"/>
  <c r="G73" i="4"/>
  <c r="G41" i="4"/>
  <c r="G102" i="4"/>
  <c r="G70" i="4"/>
  <c r="G38" i="4"/>
  <c r="F116" i="4"/>
  <c r="G114" i="4"/>
  <c r="F108" i="4"/>
  <c r="G106" i="4"/>
  <c r="F100" i="4"/>
  <c r="G98" i="4"/>
  <c r="F92" i="4"/>
  <c r="G90" i="4"/>
  <c r="F84" i="4"/>
  <c r="G82" i="4"/>
  <c r="F76" i="4"/>
  <c r="G74" i="4"/>
  <c r="F68" i="4"/>
  <c r="G66" i="4"/>
  <c r="F60" i="4"/>
  <c r="G58" i="4"/>
  <c r="F52" i="4"/>
  <c r="G50" i="4"/>
  <c r="F44" i="4"/>
  <c r="G42" i="4"/>
  <c r="F36" i="4"/>
  <c r="G34" i="4"/>
  <c r="F28" i="4"/>
  <c r="G26" i="4"/>
  <c r="F20" i="4"/>
  <c r="G97" i="4"/>
  <c r="G65" i="4"/>
  <c r="G33" i="4"/>
  <c r="G94" i="4"/>
  <c r="G62" i="4"/>
  <c r="G30" i="4"/>
  <c r="F111" i="4"/>
  <c r="F103" i="4"/>
  <c r="F95" i="4"/>
  <c r="F87" i="4"/>
  <c r="F79" i="4"/>
  <c r="F71" i="4"/>
  <c r="F63" i="4"/>
  <c r="F55" i="4"/>
  <c r="F47" i="4"/>
  <c r="F39" i="4"/>
  <c r="F31" i="4"/>
  <c r="F23" i="4"/>
  <c r="G116" i="4"/>
  <c r="G108" i="4"/>
  <c r="G100" i="4"/>
  <c r="G92" i="4"/>
  <c r="G84" i="4"/>
  <c r="G76" i="4"/>
  <c r="G68" i="4"/>
  <c r="G60" i="4"/>
  <c r="G52" i="4"/>
  <c r="G44" i="4"/>
  <c r="G36" i="4"/>
  <c r="G28" i="4"/>
  <c r="G20" i="4"/>
  <c r="G89" i="4"/>
  <c r="G57" i="4"/>
  <c r="G25" i="4"/>
  <c r="G118" i="4"/>
  <c r="G86" i="4"/>
  <c r="G54" i="4"/>
  <c r="G22" i="4"/>
  <c r="F40" i="2"/>
  <c r="F42" i="2" s="1"/>
  <c r="G112" i="4"/>
  <c r="G104" i="4"/>
  <c r="G96" i="4"/>
  <c r="G88" i="4"/>
  <c r="G80" i="4"/>
  <c r="G72" i="4"/>
  <c r="G64" i="4"/>
  <c r="G56" i="4"/>
  <c r="G48" i="4"/>
  <c r="G40" i="4"/>
  <c r="G32" i="4"/>
  <c r="G24" i="4"/>
  <c r="F107" i="4"/>
  <c r="F75" i="4"/>
  <c r="F43" i="4"/>
  <c r="G19" i="4"/>
  <c r="F106" i="4"/>
  <c r="F82" i="4"/>
  <c r="F66" i="4"/>
  <c r="F58" i="4"/>
  <c r="F26" i="4"/>
  <c r="F99" i="4"/>
  <c r="F67" i="4"/>
  <c r="F35" i="4"/>
  <c r="F90" i="4"/>
  <c r="F42" i="4"/>
  <c r="F115" i="4"/>
  <c r="F83" i="4"/>
  <c r="F59" i="4"/>
  <c r="F27" i="4"/>
  <c r="F114" i="4"/>
  <c r="F74" i="4"/>
  <c r="F34" i="4"/>
  <c r="G91" i="4"/>
  <c r="G51" i="4"/>
  <c r="F98" i="4"/>
  <c r="F50" i="4"/>
  <c r="F37" i="2"/>
  <c r="F44" i="2" s="1"/>
  <c r="F79" i="2" l="1"/>
  <c r="F30" i="6"/>
  <c r="E31" i="6" s="1"/>
  <c r="E79" i="2"/>
  <c r="E77" i="2"/>
  <c r="E78" i="2" s="1"/>
  <c r="G45" i="2"/>
  <c r="G46" i="2" s="1"/>
  <c r="F45" i="2"/>
  <c r="F46" i="2" s="1"/>
  <c r="F57" i="2" s="1"/>
  <c r="F58" i="2" s="1"/>
  <c r="E45" i="2"/>
  <c r="E46" i="2" s="1"/>
  <c r="E57" i="2" l="1"/>
  <c r="E58" i="2" s="1"/>
  <c r="E62" i="2"/>
  <c r="E63" i="2" s="1"/>
  <c r="E64" i="2" s="1"/>
  <c r="E71" i="2" s="1"/>
  <c r="F62" i="2"/>
  <c r="F63" i="2" s="1"/>
  <c r="F64" i="2" s="1"/>
  <c r="F71" i="2" s="1"/>
  <c r="G62" i="2"/>
  <c r="G63" i="2" s="1"/>
  <c r="G64" i="2" s="1"/>
  <c r="G71" i="2" s="1"/>
  <c r="G57" i="2"/>
  <c r="F31" i="6"/>
  <c r="E32" i="6" s="1"/>
  <c r="F59" i="2"/>
  <c r="F60" i="2" s="1"/>
  <c r="F70" i="2" s="1"/>
  <c r="E59" i="2" l="1"/>
  <c r="E60" i="2" s="1"/>
  <c r="E70" i="2" s="1"/>
  <c r="G59" i="2"/>
  <c r="G60" i="2" s="1"/>
  <c r="G70" i="2" s="1"/>
  <c r="G58" i="2"/>
  <c r="F32" i="6"/>
  <c r="E33" i="6" s="1"/>
  <c r="F33" i="6" l="1"/>
  <c r="E34" i="6" s="1"/>
  <c r="F34" i="6" l="1"/>
  <c r="E35" i="6" s="1"/>
  <c r="F35" i="6" l="1"/>
  <c r="E36" i="6" s="1"/>
  <c r="F36" i="6" l="1"/>
  <c r="E37" i="6" s="1"/>
  <c r="F37" i="6" l="1"/>
  <c r="E38" i="6" s="1"/>
  <c r="F38" i="6" l="1"/>
  <c r="E39" i="6"/>
  <c r="F39" i="6" l="1"/>
  <c r="E40" i="6" s="1"/>
  <c r="F40" i="6" l="1"/>
  <c r="E41" i="6" s="1"/>
  <c r="F4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Jochen Rivoir</author>
  </authors>
  <commentList>
    <comment ref="C12" authorId="0" shapeId="0" xr:uid="{976F663C-113C-47C5-9C86-65E151D2ECCD}">
      <text>
        <r>
          <rPr>
            <b/>
            <sz val="9"/>
            <color indexed="81"/>
            <rFont val="Tahoma"/>
            <family val="2"/>
          </rPr>
          <t>Jochen Rivoir:</t>
        </r>
        <r>
          <rPr>
            <sz val="9"/>
            <color indexed="81"/>
            <rFont val="Tahoma"/>
            <family val="2"/>
          </rPr>
          <t xml:space="preserve">
Stand Januar 2024</t>
        </r>
      </text>
    </comment>
    <comment ref="J49" authorId="0" shapeId="0" xr:uid="{63C1DD68-EB48-4612-B7AC-978322352A94}">
      <text>
        <r>
          <rPr>
            <b/>
            <sz val="9"/>
            <color indexed="81"/>
            <rFont val="Tahoma"/>
            <family val="2"/>
          </rPr>
          <t>Jochen Rivoir:</t>
        </r>
        <r>
          <rPr>
            <sz val="9"/>
            <color indexed="81"/>
            <rFont val="Tahoma"/>
            <family val="2"/>
          </rPr>
          <t xml:space="preserve">
+1 für Allgemeinstrom
-2 für Hauptzähler (Bezug + Einspeisung)</t>
        </r>
      </text>
    </comment>
  </commentList>
</comments>
</file>

<file path=xl/sharedStrings.xml><?xml version="1.0" encoding="utf-8"?>
<sst xmlns="http://schemas.openxmlformats.org/spreadsheetml/2006/main" count="276" uniqueCount="207">
  <si>
    <t>kWp</t>
  </si>
  <si>
    <t>Eigenverbrauch</t>
  </si>
  <si>
    <t>Jahre</t>
  </si>
  <si>
    <t>/kWh</t>
  </si>
  <si>
    <t>Amortisationszeit</t>
  </si>
  <si>
    <t>Eingespeister Strom</t>
  </si>
  <si>
    <t>kWh/Jahr</t>
  </si>
  <si>
    <t>/Jahr</t>
  </si>
  <si>
    <t>Volleinspeisung</t>
  </si>
  <si>
    <t>PV Kosten</t>
  </si>
  <si>
    <t>Speicher Kosten</t>
  </si>
  <si>
    <t>Anschaffungskosten</t>
  </si>
  <si>
    <t>Erzeugter PV Strom</t>
  </si>
  <si>
    <t>kWh</t>
  </si>
  <si>
    <t>Teileinspeisung</t>
  </si>
  <si>
    <t>Strompreis des Stromanbieters</t>
  </si>
  <si>
    <t>Vermiedene CO2 Emissionen</t>
  </si>
  <si>
    <t>Umweltbundesamt</t>
  </si>
  <si>
    <t>Waldfläche (CO2-äquivalent)</t>
  </si>
  <si>
    <t>Stiftung Unternehmen Wald</t>
  </si>
  <si>
    <t>/kWp</t>
  </si>
  <si>
    <t>Erzeugter Strom - Eigenverbrauch</t>
  </si>
  <si>
    <t>Eigenverbrauch * Strompreis</t>
  </si>
  <si>
    <t>PV Nennleistung</t>
  </si>
  <si>
    <t>Einspeisevergütung pro kWh</t>
  </si>
  <si>
    <t>Einspeisevergütung * Eingespeister Strom</t>
  </si>
  <si>
    <t>Gesamtstromverbrauch * Eigenverbrauchsanteil</t>
  </si>
  <si>
    <t>Für weitere Szenarien:</t>
  </si>
  <si>
    <t>Für kollektive Selbstversorgung</t>
  </si>
  <si>
    <t>Eigenverbrauchsanteil anhand von Verbrauch durch Wohnungen und Allgemeinstrom angeben</t>
  </si>
  <si>
    <t>Für Allgemeinstrom Modell</t>
  </si>
  <si>
    <t>Eigenverbrauchsanteil anhand von Verbrauch durch Allgemeinstrom angeben</t>
  </si>
  <si>
    <t>Für Volleinspeisung</t>
  </si>
  <si>
    <t>Eigenverbrauchsanteil auf Null setzen. Einspeisevergütung wird automatisch richtig gewählt.</t>
  </si>
  <si>
    <t>Speicherkapazität</t>
  </si>
  <si>
    <t>PV Nennleistung * Kosten pro kWp</t>
  </si>
  <si>
    <t>Speicherkapazität * Kosten pro kWh</t>
  </si>
  <si>
    <t>Strommengen</t>
  </si>
  <si>
    <t>Von oben</t>
  </si>
  <si>
    <t>PV-Anlage</t>
  </si>
  <si>
    <t>0 - 10 kWp</t>
  </si>
  <si>
    <t>10 - 40 kWp</t>
  </si>
  <si>
    <t>40 - 100 kWp</t>
  </si>
  <si>
    <t>Vergütung</t>
  </si>
  <si>
    <t>Anteil an PV Nennleistung</t>
  </si>
  <si>
    <t>€/kWh</t>
  </si>
  <si>
    <t>bsw_verguetungssaetze_aktuell.pdf (solarwirtschaft.de)</t>
  </si>
  <si>
    <t>Direktvermarktung</t>
  </si>
  <si>
    <t>Siehe oben</t>
  </si>
  <si>
    <t>Durchschnittlicher CO₂-Fußabdruck pro Kopf in Deutschland | Umweltbundesamt</t>
  </si>
  <si>
    <t>qm Wald/kg CO2/Jahr</t>
  </si>
  <si>
    <t>kg CO2/kWh/Jahr</t>
  </si>
  <si>
    <t>kg CO2/Person/Jahr</t>
  </si>
  <si>
    <t>kWh/100 km</t>
  </si>
  <si>
    <t>Umweltbilanz von Elektrofahrzeugen – Potenziale der Kreislaufwirtschaft - FfE</t>
  </si>
  <si>
    <t>kg CO2/kWh</t>
  </si>
  <si>
    <t>kWh/Jahr/kWp</t>
  </si>
  <si>
    <t>Jahren</t>
  </si>
  <si>
    <t>Netzbezug</t>
  </si>
  <si>
    <t>CO2 Belastung durch Speicher (über 20 Jahre)</t>
  </si>
  <si>
    <t>kg CO2/Jahr</t>
  </si>
  <si>
    <t>qm Wald</t>
  </si>
  <si>
    <t>Personen</t>
  </si>
  <si>
    <t>km/Jahr</t>
  </si>
  <si>
    <t>Beitrag zum Klimaschutz</t>
  </si>
  <si>
    <t>Für Fahrt mit E-Auto</t>
  </si>
  <si>
    <t>Vermiedener Pro-Kopf CO2-Fußabdruck</t>
  </si>
  <si>
    <t>Objekt</t>
  </si>
  <si>
    <t>Datum der Inbetriebnahme</t>
  </si>
  <si>
    <t>Beeinflusst die Einspeisevergütung</t>
  </si>
  <si>
    <t>Fixe Sätze für Einspeisevergütung</t>
  </si>
  <si>
    <t>Sätze bis</t>
  </si>
  <si>
    <t>Ende Jan 2024</t>
  </si>
  <si>
    <t>Sätze am</t>
  </si>
  <si>
    <t>Mittlere Degradation der PV-Module</t>
  </si>
  <si>
    <t>Gemittelt über 20 Jahre</t>
  </si>
  <si>
    <t>Halbjahre nach</t>
  </si>
  <si>
    <t>Eingaben</t>
  </si>
  <si>
    <t>Simulation des Geldflusses</t>
  </si>
  <si>
    <t xml:space="preserve">Anschaffungskosten </t>
  </si>
  <si>
    <t>Jahr</t>
  </si>
  <si>
    <t>Kapital</t>
  </si>
  <si>
    <t>Rendite</t>
  </si>
  <si>
    <t>Ertrag</t>
  </si>
  <si>
    <t>Berechnet</t>
  </si>
  <si>
    <t>Ertrag pro Jahr</t>
  </si>
  <si>
    <t>p.a.</t>
  </si>
  <si>
    <t>Zur Überprüfung der Renditeberechnung</t>
  </si>
  <si>
    <t>qm/Fußballfeld</t>
  </si>
  <si>
    <t>Fussballfelder</t>
  </si>
  <si>
    <t>Allgemeinstrom</t>
  </si>
  <si>
    <t>/kWh/Jahr</t>
  </si>
  <si>
    <t>Autarkiegrad</t>
  </si>
  <si>
    <t>Allgemeinstromverbrauch</t>
  </si>
  <si>
    <t>Eingabefeld</t>
  </si>
  <si>
    <t>Zinsen</t>
  </si>
  <si>
    <t>Fall A) Einmalige Sonderumlage</t>
  </si>
  <si>
    <t>Fall B) Rücklagenrückführung in</t>
  </si>
  <si>
    <t>Kreditsumme</t>
  </si>
  <si>
    <t>Simulation</t>
  </si>
  <si>
    <t>Kredit</t>
  </si>
  <si>
    <t>Zahlung</t>
  </si>
  <si>
    <t>Jährliche Zahlung</t>
  </si>
  <si>
    <t>Monatliche Zahlung</t>
  </si>
  <si>
    <t>Tilgungsdauer in Jahren</t>
  </si>
  <si>
    <t>Wirtschaftlichkeit</t>
  </si>
  <si>
    <t>/Wohnung</t>
  </si>
  <si>
    <t>/Monat/Wohnung</t>
  </si>
  <si>
    <t>Rendite bei 20 Jahren Nutzungsdauer</t>
  </si>
  <si>
    <t>Äquivalente Verzinsung</t>
  </si>
  <si>
    <t>Verhältnis des erzeugten Stroms zum Gesamtverbrauch</t>
  </si>
  <si>
    <t>Kosten für Gerüst</t>
  </si>
  <si>
    <t>PV Kosten + … + Speicher Kosten</t>
  </si>
  <si>
    <t>Name des Objekt</t>
  </si>
  <si>
    <t>WQ StadtWerk</t>
  </si>
  <si>
    <t>Zählerstruktur ändern? (0 = Nein, 1 = Ja)</t>
  </si>
  <si>
    <t>Anzahl Wohneinheiten</t>
  </si>
  <si>
    <t>Wohneinheiten</t>
  </si>
  <si>
    <t>PV-Nennleistung</t>
  </si>
  <si>
    <t>Eigenverbrauchsquote (Anteil des selbst verbrauchten Stroms am PV-Strom)</t>
  </si>
  <si>
    <t>Spezifische Größe der PV-Anlage</t>
  </si>
  <si>
    <t>Erzeugter PV Strom pro Jahr / Maßgeblicher Jahresverbrauch</t>
  </si>
  <si>
    <t>PV Nennleistung * Spezifischer Energieertrag * (1 - Degradation)</t>
  </si>
  <si>
    <t>Gesamtstromverbrauch</t>
  </si>
  <si>
    <t>Eigenverbrauch / Gesamtstromverbrauch</t>
  </si>
  <si>
    <t>Erzeugter PV Strom / Gesamtstromverbrauch</t>
  </si>
  <si>
    <t>Gesamtstromverbrauch - Eigenverbrauch</t>
  </si>
  <si>
    <t xml:space="preserve">pv@wohnquartier-stadtwerk.de </t>
  </si>
  <si>
    <t>https://wohnquartier-stadtwerk.de/pv</t>
  </si>
  <si>
    <t>Eigenverbrauchsquote</t>
  </si>
  <si>
    <t>Jahresstromverbrauch</t>
  </si>
  <si>
    <t>2,0 MWh/Jahr</t>
  </si>
  <si>
    <t>27,7 MWh/Jahr</t>
  </si>
  <si>
    <t>154,0 MWh/Jahr</t>
  </si>
  <si>
    <t>1 Wohnung</t>
  </si>
  <si>
    <t>59 Wohnungen</t>
  </si>
  <si>
    <t>Spezifische Größe der PV-Anlage = Jahresstromertrag / Jahresstromverbrauch</t>
  </si>
  <si>
    <t>Herrschaftsgarten</t>
  </si>
  <si>
    <t>StadtWerk</t>
  </si>
  <si>
    <t>2 Personen</t>
  </si>
  <si>
    <t>11 Wohnungen</t>
  </si>
  <si>
    <t>Nutzen durch Eigenverbrauch (N1)</t>
  </si>
  <si>
    <t>Nutzen durch Einspeisung (N2)</t>
  </si>
  <si>
    <t>Nutzen durch geteilte Grundgebühr (N3)</t>
  </si>
  <si>
    <t>von Anschaffung/Jahr</t>
  </si>
  <si>
    <t>Selbstbewohnte Wohnung</t>
  </si>
  <si>
    <t>Vermietete Wohnung</t>
  </si>
  <si>
    <t>Maßgeblicher Jahresverbrauch als Basis für Eigenverbrauch</t>
  </si>
  <si>
    <t xml:space="preserve">Dank gebührt Richard Metzger von der BürgerSolarBeratung Herrenberg, </t>
  </si>
  <si>
    <t>der die aufwändige Berechnung aller Eigenverbrauchsquoten übernommen hat.</t>
  </si>
  <si>
    <t>Reparaturen, Versicherung, Wartung, Mehraufwand Verwaltung</t>
  </si>
  <si>
    <t>ohne gesparte Grundgebühr</t>
  </si>
  <si>
    <t>mit gesparter Grundgebühr</t>
  </si>
  <si>
    <t>3 E-Autos</t>
  </si>
  <si>
    <t>4 E-Autos</t>
  </si>
  <si>
    <t>Kein E-Auto</t>
  </si>
  <si>
    <t>Spezifischer Energieertrag</t>
  </si>
  <si>
    <t>Siehe Blatt "Hinweise"</t>
  </si>
  <si>
    <t>Der Energieertrag hängt von Standort, Ausrichtung und Aufstellwinkel ab.</t>
  </si>
  <si>
    <t>Er kann wie folgt ermittelt werden.</t>
  </si>
  <si>
    <t>Rufen Sie den folgenden Link auf:</t>
  </si>
  <si>
    <t>JRC Photovoltaic Geographical Information System (PVGIS) - European Commission (europa.eu)</t>
  </si>
  <si>
    <t>Auf der Karte links den Standort der PV-Anlage anklicken.</t>
  </si>
  <si>
    <t>Bei "Installed PV peak power [kWp]" den Wert 1 eingeben.</t>
  </si>
  <si>
    <t>"Optimize Slope" anklicken.</t>
  </si>
  <si>
    <t>"Azimuth" eingeben. 0 für Ausrichtung nach Süden eingeben, 90 bei Ausrichtung nach Osten und/oder Westen.</t>
  </si>
  <si>
    <t>Den blauen Knopf "Visualize results" anklicken.</t>
  </si>
  <si>
    <t>Links unten den Wert für "Yearly PV energy production [kWh]" ablesen und im Wirtschaftlichkeitsrechner unter "Spezifischer Energieertrag" eintragen.</t>
  </si>
  <si>
    <t>Stromverbrauch aller Wohnungen</t>
  </si>
  <si>
    <t>Nutzen für Bewohner/Mieter</t>
  </si>
  <si>
    <t>Letzte Version unter:</t>
  </si>
  <si>
    <t>Wartung und Versicherung</t>
  </si>
  <si>
    <t>/Jahr/Wohnung</t>
  </si>
  <si>
    <t>Pacht für Wohnungszähler + Allgemeinstrom</t>
  </si>
  <si>
    <t>Pacht für Wandlerzähler</t>
  </si>
  <si>
    <t>ab 6 Wohnungen</t>
  </si>
  <si>
    <t>Messpreise für Einspeiser nach dem Kraft-Wärme-Kopplungsgesetz 01.01.2022 (ctfassets.net)</t>
  </si>
  <si>
    <t>Laut Netze BW im August 2024</t>
  </si>
  <si>
    <t>Nutzen für selbstbewohnende Eigentümer</t>
  </si>
  <si>
    <t>Nutzen für vermietende Eigentümer</t>
  </si>
  <si>
    <t>/Jahr/Zähler</t>
  </si>
  <si>
    <t>/Jahr, ab 6 Wohnungen</t>
  </si>
  <si>
    <t>Grundgebühr der Wohnungsstromverträge</t>
  </si>
  <si>
    <t>Einzählermodell</t>
  </si>
  <si>
    <t>xxx</t>
  </si>
  <si>
    <t>Einzählermodell: Gesamtverbrauch; Volleinspeisung: Null; Allgemeinstrommodell: Allgemeinstrom</t>
  </si>
  <si>
    <t>Abhängig von PV-Nennleistung, Teil- bzw Volleinspeisung und Datum der Inbetriebnahme</t>
  </si>
  <si>
    <t>Tilgung und Zinsen werden mit Nutzen bezahlt</t>
  </si>
  <si>
    <t>Laufende Kosten (K)</t>
  </si>
  <si>
    <t>N1 + N2 - K</t>
  </si>
  <si>
    <t>Anschaffung / (Nutzen abzgl. laufende Kosten)</t>
  </si>
  <si>
    <t xml:space="preserve">https://www.verivox.de/strom/ </t>
  </si>
  <si>
    <t>Kosten für Umbau der Zählerstruktur</t>
  </si>
  <si>
    <t>2.500 € bis 10.000 €, je nach Art und Größe des Objekts</t>
  </si>
  <si>
    <t>Sie können diese Tabellenkalkulation gerne anpassen.</t>
  </si>
  <si>
    <t>Angaben ohne Gewähr</t>
  </si>
  <si>
    <t>Eigenverbrauchsquote laut Tabellenblatt "Eigenverbrauchsquote"</t>
  </si>
  <si>
    <t>Nutzen in 20 Jahren für alle Wohnungen</t>
  </si>
  <si>
    <t>Nutzen * 20</t>
  </si>
  <si>
    <t>Nutzen = N1 + N2 + N3 - K</t>
  </si>
  <si>
    <t>Dieser Hinweis darf jedoch nicht entfernt werden.</t>
  </si>
  <si>
    <t>Finanzierung für Wohnung mit durchschnittlichen Miteigentumsanteilen</t>
  </si>
  <si>
    <t>Fall C) Tilgungsdauer eines Kredits mit</t>
  </si>
  <si>
    <t>Spalten einfügen und ähnliche Spalte kopieren</t>
  </si>
  <si>
    <t>Kosten für besondere Situation</t>
  </si>
  <si>
    <t>Erhöhter Verwaltungsaufwand</t>
  </si>
  <si>
    <t>Stand 28.10.2024, Copyright © Jochen Rivoir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</si>
</sst>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\ &quot;€&quot;_-;\-* #,##0\ &quot;€&quot;_-;_-* &quot;-&quot;??\ &quot;€&quot;_-;_-@_-"/>
    <numFmt numFmtId="166" formatCode="_-* #,##0.000\ &quot;€&quot;_-;\-* #,##0.000\ &quot;€&quot;_-;_-* &quot;-&quot;??\ &quot;€&quot;_-;_-@_-"/>
    <numFmt numFmtId="167" formatCode="_-* #,##0.0_-;\-* #,##0.0_-;_-* &quot;-&quot;??_-;_-@_-"/>
    <numFmt numFmtId="168" formatCode="0.0%"/>
    <numFmt numFmtId="169" formatCode="0.0"/>
    <numFmt numFmtId="170" formatCode="_-* #,##0.0000\ &quot;€&quot;_-;\-* #,##0.0000\ &quot;€&quot;_-;_-* &quot;-&quot;???\ &quot;€&quot;_-;_-@_-"/>
    <numFmt numFmtId="171" formatCode="_-* #,##0.000_-;\-* #,##0.000_-;_-* &quot;-&quot;??_-;_-@_-"/>
    <numFmt numFmtId="172" formatCode="[$-407]mmmm\ yy;@"/>
    <numFmt numFmtId="173" formatCode="_-* #,##0\ [$€-407]_-;\-* #,##0\ [$€-407]_-;_-* &quot;-&quot;??\ [$€-407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83">
    <xf numFmtId="0" fontId="0" fillId="0" borderId="0" xfId="0"/>
    <xf numFmtId="164" fontId="0" fillId="0" borderId="0" xfId="1" applyNumberFormat="1" applyFont="1"/>
    <xf numFmtId="0" fontId="0" fillId="0" borderId="0" xfId="0" quotePrefix="1"/>
    <xf numFmtId="166" fontId="0" fillId="0" borderId="0" xfId="2" applyNumberFormat="1" applyFont="1"/>
    <xf numFmtId="0" fontId="3" fillId="0" borderId="0" xfId="0" applyFont="1"/>
    <xf numFmtId="164" fontId="0" fillId="0" borderId="0" xfId="0" applyNumberFormat="1"/>
    <xf numFmtId="0" fontId="6" fillId="0" borderId="0" xfId="0" applyFont="1"/>
    <xf numFmtId="44" fontId="0" fillId="0" borderId="0" xfId="2" quotePrefix="1" applyFont="1"/>
    <xf numFmtId="0" fontId="0" fillId="0" borderId="0" xfId="2" applyNumberFormat="1" applyFont="1"/>
    <xf numFmtId="0" fontId="0" fillId="0" borderId="0" xfId="1" applyNumberFormat="1" applyFont="1" applyBorder="1" applyAlignment="1">
      <alignment horizontal="left"/>
    </xf>
    <xf numFmtId="164" fontId="0" fillId="0" borderId="0" xfId="1" applyNumberFormat="1" applyFont="1" applyFill="1" applyBorder="1"/>
    <xf numFmtId="165" fontId="0" fillId="0" borderId="0" xfId="2" applyNumberFormat="1" applyFont="1" applyFill="1" applyBorder="1"/>
    <xf numFmtId="0" fontId="0" fillId="0" borderId="0" xfId="0" applyAlignment="1">
      <alignment horizontal="right"/>
    </xf>
    <xf numFmtId="170" fontId="0" fillId="0" borderId="0" xfId="0" applyNumberFormat="1"/>
    <xf numFmtId="0" fontId="0" fillId="4" borderId="0" xfId="0" applyFill="1"/>
    <xf numFmtId="0" fontId="0" fillId="4" borderId="1" xfId="0" applyFill="1" applyBorder="1"/>
    <xf numFmtId="164" fontId="0" fillId="4" borderId="1" xfId="1" applyNumberFormat="1" applyFont="1" applyFill="1" applyBorder="1"/>
    <xf numFmtId="164" fontId="0" fillId="4" borderId="0" xfId="0" applyNumberFormat="1" applyFill="1"/>
    <xf numFmtId="0" fontId="8" fillId="0" borderId="0" xfId="0" applyFont="1"/>
    <xf numFmtId="0" fontId="2" fillId="0" borderId="0" xfId="4" applyNumberFormat="1" applyFill="1"/>
    <xf numFmtId="0" fontId="7" fillId="0" borderId="0" xfId="4" applyNumberFormat="1" applyFont="1" applyFill="1"/>
    <xf numFmtId="0" fontId="4" fillId="0" borderId="0" xfId="0" applyFont="1"/>
    <xf numFmtId="164" fontId="4" fillId="0" borderId="0" xfId="1" applyNumberFormat="1" applyFont="1"/>
    <xf numFmtId="169" fontId="0" fillId="0" borderId="0" xfId="0" applyNumberFormat="1"/>
    <xf numFmtId="0" fontId="6" fillId="0" borderId="0" xfId="0" applyFont="1" applyAlignment="1">
      <alignment horizontal="left"/>
    </xf>
    <xf numFmtId="166" fontId="5" fillId="0" borderId="0" xfId="2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2" xfId="0" applyFill="1" applyBorder="1" applyAlignment="1">
      <alignment horizontal="right"/>
    </xf>
    <xf numFmtId="164" fontId="0" fillId="0" borderId="0" xfId="1" applyNumberFormat="1" applyFont="1" applyFill="1"/>
    <xf numFmtId="164" fontId="0" fillId="0" borderId="3" xfId="1" applyNumberFormat="1" applyFont="1" applyFill="1" applyBorder="1"/>
    <xf numFmtId="164" fontId="0" fillId="4" borderId="3" xfId="1" applyNumberFormat="1" applyFont="1" applyFill="1" applyBorder="1" applyAlignment="1">
      <alignment horizontal="right"/>
    </xf>
    <xf numFmtId="164" fontId="0" fillId="4" borderId="4" xfId="1" applyNumberFormat="1" applyFont="1" applyFill="1" applyBorder="1" applyAlignment="1">
      <alignment horizontal="right"/>
    </xf>
    <xf numFmtId="164" fontId="0" fillId="0" borderId="3" xfId="1" applyNumberFormat="1" applyFont="1" applyBorder="1"/>
    <xf numFmtId="0" fontId="0" fillId="4" borderId="0" xfId="0" applyFill="1" applyAlignment="1">
      <alignment horizontal="center"/>
    </xf>
    <xf numFmtId="0" fontId="0" fillId="4" borderId="2" xfId="0" quotePrefix="1" applyFill="1" applyBorder="1" applyAlignment="1">
      <alignment horizontal="right"/>
    </xf>
    <xf numFmtId="0" fontId="2" fillId="0" borderId="0" xfId="4"/>
    <xf numFmtId="166" fontId="0" fillId="4" borderId="0" xfId="2" applyNumberFormat="1" applyFont="1" applyFill="1" applyAlignment="1">
      <alignment horizontal="right"/>
    </xf>
    <xf numFmtId="166" fontId="0" fillId="4" borderId="2" xfId="2" applyNumberFormat="1" applyFont="1" applyFill="1" applyBorder="1" applyAlignment="1">
      <alignment horizontal="right"/>
    </xf>
    <xf numFmtId="166" fontId="2" fillId="0" borderId="0" xfId="2" applyNumberFormat="1" applyFont="1"/>
    <xf numFmtId="0" fontId="0" fillId="0" borderId="0" xfId="0" applyAlignment="1">
      <alignment horizontal="left"/>
    </xf>
    <xf numFmtId="0" fontId="8" fillId="2" borderId="0" xfId="0" applyFont="1" applyFill="1"/>
    <xf numFmtId="167" fontId="8" fillId="2" borderId="0" xfId="1" applyNumberFormat="1" applyFont="1" applyFill="1" applyBorder="1"/>
    <xf numFmtId="0" fontId="0" fillId="0" borderId="0" xfId="0" quotePrefix="1" applyAlignment="1">
      <alignment horizontal="left"/>
    </xf>
    <xf numFmtId="168" fontId="0" fillId="0" borderId="0" xfId="3" applyNumberFormat="1" applyFont="1" applyFill="1"/>
    <xf numFmtId="44" fontId="0" fillId="0" borderId="0" xfId="0" applyNumberFormat="1"/>
    <xf numFmtId="14" fontId="0" fillId="0" borderId="0" xfId="2" applyNumberFormat="1" applyFont="1"/>
    <xf numFmtId="0" fontId="0" fillId="0" borderId="5" xfId="0" applyBorder="1"/>
    <xf numFmtId="168" fontId="0" fillId="0" borderId="5" xfId="0" applyNumberFormat="1" applyBorder="1"/>
    <xf numFmtId="0" fontId="0" fillId="0" borderId="5" xfId="0" quotePrefix="1" applyBorder="1"/>
    <xf numFmtId="165" fontId="0" fillId="0" borderId="5" xfId="0" applyNumberFormat="1" applyBorder="1"/>
    <xf numFmtId="43" fontId="0" fillId="0" borderId="0" xfId="1" applyFont="1" applyFill="1" applyBorder="1"/>
    <xf numFmtId="164" fontId="0" fillId="3" borderId="6" xfId="1" applyNumberFormat="1" applyFont="1" applyFill="1" applyBorder="1"/>
    <xf numFmtId="6" fontId="0" fillId="3" borderId="6" xfId="0" applyNumberFormat="1" applyFill="1" applyBorder="1"/>
    <xf numFmtId="10" fontId="0" fillId="3" borderId="6" xfId="0" applyNumberFormat="1" applyFill="1" applyBorder="1"/>
    <xf numFmtId="44" fontId="0" fillId="3" borderId="6" xfId="2" applyFont="1" applyFill="1" applyBorder="1"/>
    <xf numFmtId="165" fontId="0" fillId="3" borderId="6" xfId="2" applyNumberFormat="1" applyFont="1" applyFill="1" applyBorder="1"/>
    <xf numFmtId="43" fontId="0" fillId="3" borderId="6" xfId="1" applyFont="1" applyFill="1" applyBorder="1"/>
    <xf numFmtId="167" fontId="0" fillId="3" borderId="6" xfId="1" applyNumberFormat="1" applyFont="1" applyFill="1" applyBorder="1"/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4" fontId="0" fillId="5" borderId="6" xfId="0" applyNumberFormat="1" applyFill="1" applyBorder="1"/>
    <xf numFmtId="44" fontId="0" fillId="0" borderId="9" xfId="2" quotePrefix="1" applyFont="1" applyBorder="1"/>
    <xf numFmtId="44" fontId="0" fillId="0" borderId="2" xfId="2" applyFont="1" applyFill="1" applyBorder="1"/>
    <xf numFmtId="0" fontId="0" fillId="3" borderId="6" xfId="0" applyFill="1" applyBorder="1"/>
    <xf numFmtId="14" fontId="0" fillId="0" borderId="0" xfId="0" applyNumberFormat="1"/>
    <xf numFmtId="2" fontId="0" fillId="0" borderId="0" xfId="1" applyNumberFormat="1" applyFont="1"/>
    <xf numFmtId="1" fontId="0" fillId="0" borderId="0" xfId="1" applyNumberFormat="1" applyFont="1"/>
    <xf numFmtId="164" fontId="9" fillId="4" borderId="3" xfId="1" applyNumberFormat="1" applyFont="1" applyFill="1" applyBorder="1" applyAlignment="1">
      <alignment horizontal="center"/>
    </xf>
    <xf numFmtId="14" fontId="9" fillId="4" borderId="4" xfId="1" applyNumberFormat="1" applyFont="1" applyFill="1" applyBorder="1" applyAlignment="1">
      <alignment horizontal="center"/>
    </xf>
    <xf numFmtId="172" fontId="0" fillId="0" borderId="0" xfId="0" applyNumberFormat="1"/>
    <xf numFmtId="0" fontId="4" fillId="0" borderId="0" xfId="0" applyFont="1" applyAlignment="1">
      <alignment horizontal="left"/>
    </xf>
    <xf numFmtId="0" fontId="5" fillId="6" borderId="0" xfId="0" applyFont="1" applyFill="1"/>
    <xf numFmtId="1" fontId="0" fillId="5" borderId="0" xfId="1" applyNumberFormat="1" applyFont="1" applyFill="1" applyAlignment="1">
      <alignment horizontal="left"/>
    </xf>
    <xf numFmtId="0" fontId="0" fillId="5" borderId="0" xfId="0" applyFill="1"/>
    <xf numFmtId="165" fontId="0" fillId="0" borderId="0" xfId="2" applyNumberFormat="1" applyFont="1"/>
    <xf numFmtId="1" fontId="9" fillId="0" borderId="0" xfId="1" applyNumberFormat="1" applyFont="1" applyFill="1" applyAlignment="1">
      <alignment horizontal="center"/>
    </xf>
    <xf numFmtId="17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" fontId="0" fillId="0" borderId="0" xfId="1" applyNumberFormat="1" applyFont="1" applyAlignment="1">
      <alignment horizontal="center"/>
    </xf>
    <xf numFmtId="0" fontId="5" fillId="0" borderId="0" xfId="0" applyFont="1"/>
    <xf numFmtId="10" fontId="0" fillId="2" borderId="0" xfId="0" applyNumberFormat="1" applyFill="1"/>
    <xf numFmtId="44" fontId="0" fillId="0" borderId="0" xfId="2" applyFont="1"/>
    <xf numFmtId="9" fontId="0" fillId="0" borderId="0" xfId="3" applyFont="1"/>
    <xf numFmtId="44" fontId="0" fillId="2" borderId="0" xfId="0" applyNumberFormat="1" applyFill="1"/>
    <xf numFmtId="164" fontId="0" fillId="5" borderId="7" xfId="1" applyNumberFormat="1" applyFont="1" applyFill="1" applyBorder="1"/>
    <xf numFmtId="9" fontId="0" fillId="0" borderId="0" xfId="3" applyFont="1" applyFill="1"/>
    <xf numFmtId="10" fontId="8" fillId="0" borderId="0" xfId="3" applyNumberFormat="1" applyFont="1" applyFill="1" applyBorder="1"/>
    <xf numFmtId="165" fontId="6" fillId="0" borderId="0" xfId="2" applyNumberFormat="1" applyFont="1" applyFill="1"/>
    <xf numFmtId="9" fontId="0" fillId="0" borderId="0" xfId="0" applyNumberFormat="1"/>
    <xf numFmtId="0" fontId="9" fillId="5" borderId="0" xfId="0" applyFont="1" applyFill="1"/>
    <xf numFmtId="44" fontId="9" fillId="5" borderId="0" xfId="2" applyFont="1" applyFill="1"/>
    <xf numFmtId="43" fontId="0" fillId="0" borderId="0" xfId="1" applyFont="1"/>
    <xf numFmtId="9" fontId="0" fillId="7" borderId="0" xfId="3" applyFont="1" applyFill="1" applyBorder="1"/>
    <xf numFmtId="9" fontId="0" fillId="7" borderId="0" xfId="3" applyFont="1" applyFill="1"/>
    <xf numFmtId="0" fontId="0" fillId="7" borderId="0" xfId="0" applyFill="1"/>
    <xf numFmtId="164" fontId="0" fillId="7" borderId="0" xfId="3" applyNumberFormat="1" applyFont="1" applyFill="1"/>
    <xf numFmtId="164" fontId="0" fillId="7" borderId="0" xfId="0" applyNumberFormat="1" applyFill="1"/>
    <xf numFmtId="168" fontId="8" fillId="2" borderId="0" xfId="3" applyNumberFormat="1" applyFont="1" applyFill="1" applyBorder="1"/>
    <xf numFmtId="0" fontId="9" fillId="0" borderId="0" xfId="0" applyFont="1"/>
    <xf numFmtId="0" fontId="3" fillId="7" borderId="0" xfId="0" applyFont="1" applyFill="1"/>
    <xf numFmtId="0" fontId="3" fillId="2" borderId="0" xfId="0" applyFont="1" applyFill="1"/>
    <xf numFmtId="0" fontId="3" fillId="8" borderId="0" xfId="0" applyFont="1" applyFill="1"/>
    <xf numFmtId="0" fontId="9" fillId="8" borderId="0" xfId="0" applyFont="1" applyFill="1"/>
    <xf numFmtId="164" fontId="9" fillId="8" borderId="0" xfId="0" applyNumberFormat="1" applyFont="1" applyFill="1"/>
    <xf numFmtId="0" fontId="8" fillId="8" borderId="0" xfId="0" applyFont="1" applyFill="1"/>
    <xf numFmtId="171" fontId="1" fillId="8" borderId="0" xfId="1" applyNumberFormat="1" applyFont="1" applyFill="1"/>
    <xf numFmtId="0" fontId="1" fillId="8" borderId="0" xfId="0" applyFont="1" applyFill="1"/>
    <xf numFmtId="164" fontId="8" fillId="8" borderId="0" xfId="0" applyNumberFormat="1" applyFont="1" applyFill="1"/>
    <xf numFmtId="0" fontId="0" fillId="8" borderId="0" xfId="0" applyFill="1"/>
    <xf numFmtId="43" fontId="1" fillId="8" borderId="0" xfId="1" applyFont="1" applyFill="1"/>
    <xf numFmtId="164" fontId="8" fillId="8" borderId="0" xfId="1" applyNumberFormat="1" applyFont="1" applyFill="1"/>
    <xf numFmtId="167" fontId="8" fillId="8" borderId="0" xfId="1" applyNumberFormat="1" applyFont="1" applyFill="1"/>
    <xf numFmtId="164" fontId="1" fillId="8" borderId="0" xfId="1" applyNumberFormat="1" applyFont="1" applyFill="1"/>
    <xf numFmtId="0" fontId="0" fillId="8" borderId="0" xfId="0" quotePrefix="1" applyFill="1"/>
    <xf numFmtId="0" fontId="10" fillId="9" borderId="0" xfId="0" applyFont="1" applyFill="1"/>
    <xf numFmtId="0" fontId="8" fillId="9" borderId="0" xfId="0" applyFont="1" applyFill="1"/>
    <xf numFmtId="10" fontId="8" fillId="9" borderId="0" xfId="3" applyNumberFormat="1" applyFont="1" applyFill="1" applyBorder="1"/>
    <xf numFmtId="0" fontId="6" fillId="9" borderId="0" xfId="0" applyFont="1" applyFill="1"/>
    <xf numFmtId="0" fontId="6" fillId="9" borderId="0" xfId="2" applyNumberFormat="1" applyFont="1" applyFill="1"/>
    <xf numFmtId="165" fontId="6" fillId="9" borderId="0" xfId="2" applyNumberFormat="1" applyFont="1" applyFill="1"/>
    <xf numFmtId="165" fontId="6" fillId="9" borderId="0" xfId="2" applyNumberFormat="1" applyFont="1" applyFill="1" applyBorder="1"/>
    <xf numFmtId="44" fontId="6" fillId="9" borderId="0" xfId="2" applyFont="1" applyFill="1" applyBorder="1"/>
    <xf numFmtId="0" fontId="6" fillId="9" borderId="0" xfId="0" quotePrefix="1" applyFont="1" applyFill="1"/>
    <xf numFmtId="43" fontId="6" fillId="9" borderId="0" xfId="1" applyFont="1" applyFill="1" applyBorder="1" applyAlignment="1">
      <alignment horizontal="right"/>
    </xf>
    <xf numFmtId="165" fontId="6" fillId="9" borderId="0" xfId="2" quotePrefix="1" applyNumberFormat="1" applyFont="1" applyFill="1"/>
    <xf numFmtId="0" fontId="9" fillId="2" borderId="0" xfId="0" applyFont="1" applyFill="1"/>
    <xf numFmtId="165" fontId="9" fillId="2" borderId="0" xfId="0" applyNumberFormat="1" applyFont="1" applyFill="1"/>
    <xf numFmtId="0" fontId="9" fillId="2" borderId="0" xfId="0" quotePrefix="1" applyFont="1" applyFill="1"/>
    <xf numFmtId="0" fontId="6" fillId="5" borderId="6" xfId="0" applyFont="1" applyFill="1" applyBorder="1"/>
    <xf numFmtId="9" fontId="6" fillId="5" borderId="6" xfId="0" applyNumberFormat="1" applyFont="1" applyFill="1" applyBorder="1"/>
    <xf numFmtId="164" fontId="1" fillId="5" borderId="6" xfId="1" applyNumberFormat="1" applyFont="1" applyFill="1" applyBorder="1"/>
    <xf numFmtId="164" fontId="0" fillId="4" borderId="0" xfId="1" applyNumberFormat="1" applyFont="1" applyFill="1" applyBorder="1"/>
    <xf numFmtId="10" fontId="0" fillId="5" borderId="6" xfId="0" applyNumberFormat="1" applyFill="1" applyBorder="1"/>
    <xf numFmtId="164" fontId="0" fillId="5" borderId="6" xfId="1" applyNumberFormat="1" applyFont="1" applyFill="1" applyBorder="1" applyAlignment="1">
      <alignment horizontal="left"/>
    </xf>
    <xf numFmtId="0" fontId="0" fillId="5" borderId="6" xfId="0" applyFill="1" applyBorder="1"/>
    <xf numFmtId="0" fontId="0" fillId="3" borderId="6" xfId="1" applyNumberFormat="1" applyFont="1" applyFill="1" applyBorder="1" applyAlignment="1">
      <alignment horizontal="center"/>
    </xf>
    <xf numFmtId="0" fontId="5" fillId="0" borderId="0" xfId="1" applyNumberFormat="1" applyFont="1" applyBorder="1" applyAlignment="1">
      <alignment horizontal="left"/>
    </xf>
    <xf numFmtId="0" fontId="0" fillId="10" borderId="0" xfId="0" applyFill="1"/>
    <xf numFmtId="0" fontId="2" fillId="10" borderId="0" xfId="4" applyFill="1"/>
    <xf numFmtId="0" fontId="6" fillId="10" borderId="0" xfId="0" applyFont="1" applyFill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168" fontId="9" fillId="4" borderId="0" xfId="3" applyNumberFormat="1" applyFont="1" applyFill="1" applyAlignment="1">
      <alignment horizontal="center"/>
    </xf>
    <xf numFmtId="168" fontId="13" fillId="4" borderId="2" xfId="3" applyNumberFormat="1" applyFont="1" applyFill="1" applyBorder="1" applyAlignment="1">
      <alignment horizontal="center"/>
    </xf>
    <xf numFmtId="2" fontId="9" fillId="4" borderId="3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8" fontId="1" fillId="0" borderId="0" xfId="3" applyNumberFormat="1" applyFont="1" applyAlignment="1">
      <alignment horizontal="center"/>
    </xf>
    <xf numFmtId="168" fontId="8" fillId="0" borderId="0" xfId="3" applyNumberFormat="1" applyFont="1" applyFill="1" applyBorder="1"/>
    <xf numFmtId="0" fontId="8" fillId="2" borderId="0" xfId="0" applyFont="1" applyFill="1" applyAlignment="1">
      <alignment horizontal="left" indent="2"/>
    </xf>
    <xf numFmtId="0" fontId="9" fillId="2" borderId="10" xfId="0" applyFont="1" applyFill="1" applyBorder="1"/>
    <xf numFmtId="165" fontId="9" fillId="2" borderId="10" xfId="0" applyNumberFormat="1" applyFont="1" applyFill="1" applyBorder="1"/>
    <xf numFmtId="0" fontId="9" fillId="2" borderId="10" xfId="0" quotePrefix="1" applyFont="1" applyFill="1" applyBorder="1"/>
    <xf numFmtId="10" fontId="6" fillId="9" borderId="0" xfId="3" applyNumberFormat="1" applyFont="1" applyFill="1" applyBorder="1" applyAlignment="1">
      <alignment horizontal="left" indent="5"/>
    </xf>
    <xf numFmtId="168" fontId="13" fillId="4" borderId="0" xfId="3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Fill="1" applyBorder="1"/>
    <xf numFmtId="165" fontId="0" fillId="0" borderId="0" xfId="0" applyNumberFormat="1"/>
    <xf numFmtId="0" fontId="0" fillId="11" borderId="1" xfId="0" applyFill="1" applyBorder="1"/>
    <xf numFmtId="165" fontId="0" fillId="11" borderId="0" xfId="2" applyNumberFormat="1" applyFont="1" applyFill="1" applyBorder="1"/>
    <xf numFmtId="165" fontId="0" fillId="11" borderId="1" xfId="2" applyNumberFormat="1" applyFont="1" applyFill="1" applyBorder="1"/>
    <xf numFmtId="0" fontId="0" fillId="11" borderId="0" xfId="0" applyFill="1"/>
    <xf numFmtId="0" fontId="0" fillId="11" borderId="1" xfId="0" quotePrefix="1" applyFill="1" applyBorder="1"/>
    <xf numFmtId="0" fontId="0" fillId="11" borderId="1" xfId="0" applyFill="1" applyBorder="1" applyAlignment="1">
      <alignment horizontal="left"/>
    </xf>
    <xf numFmtId="6" fontId="0" fillId="11" borderId="6" xfId="0" applyNumberFormat="1" applyFill="1" applyBorder="1"/>
    <xf numFmtId="6" fontId="0" fillId="3" borderId="7" xfId="0" applyNumberFormat="1" applyFill="1" applyBorder="1"/>
    <xf numFmtId="167" fontId="6" fillId="9" borderId="0" xfId="1" applyNumberFormat="1" applyFont="1" applyFill="1" applyBorder="1" applyAlignment="1">
      <alignment horizontal="right"/>
    </xf>
    <xf numFmtId="167" fontId="6" fillId="9" borderId="0" xfId="1" applyNumberFormat="1" applyFont="1" applyFill="1" applyBorder="1" applyAlignment="1">
      <alignment horizontal="right" indent="1"/>
    </xf>
    <xf numFmtId="43" fontId="4" fillId="0" borderId="0" xfId="1" applyFont="1" applyFill="1" applyBorder="1"/>
    <xf numFmtId="164" fontId="4" fillId="0" borderId="0" xfId="1" applyNumberFormat="1" applyFont="1" applyFill="1" applyBorder="1"/>
    <xf numFmtId="0" fontId="2" fillId="0" borderId="0" xfId="4" applyFill="1"/>
    <xf numFmtId="9" fontId="0" fillId="3" borderId="11" xfId="0" applyNumberFormat="1" applyFill="1" applyBorder="1"/>
    <xf numFmtId="165" fontId="8" fillId="2" borderId="0" xfId="2" applyNumberFormat="1" applyFont="1" applyFill="1" applyBorder="1"/>
    <xf numFmtId="165" fontId="0" fillId="3" borderId="12" xfId="2" applyNumberFormat="1" applyFont="1" applyFill="1" applyBorder="1"/>
    <xf numFmtId="6" fontId="0" fillId="0" borderId="0" xfId="0" applyNumberFormat="1"/>
    <xf numFmtId="165" fontId="0" fillId="11" borderId="0" xfId="0" applyNumberFormat="1" applyFill="1"/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8" fontId="9" fillId="4" borderId="0" xfId="3" applyNumberFormat="1" applyFont="1" applyFill="1" applyBorder="1" applyAlignment="1">
      <alignment horizontal="center"/>
    </xf>
    <xf numFmtId="168" fontId="9" fillId="4" borderId="0" xfId="3" applyNumberFormat="1" applyFont="1" applyFill="1" applyAlignment="1">
      <alignment horizontal="center"/>
    </xf>
    <xf numFmtId="0" fontId="14" fillId="4" borderId="0" xfId="0" applyFont="1" applyFill="1" applyAlignment="1">
      <alignment horizontal="center" vertical="center" textRotation="90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1 Wohnung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Eigenverbrauchsquote!$C$8:$C$21</c:f>
              <c:numCache>
                <c:formatCode>0.00</c:formatCode>
                <c:ptCount val="1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0.75</c:v>
                </c:pt>
                <c:pt idx="6">
                  <c:v>1</c:v>
                </c:pt>
                <c:pt idx="7">
                  <c:v>1.25</c:v>
                </c:pt>
                <c:pt idx="8">
                  <c:v>1.5</c:v>
                </c:pt>
                <c:pt idx="9">
                  <c:v>2</c:v>
                </c:pt>
                <c:pt idx="10">
                  <c:v>2.5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</c:numCache>
            </c:numRef>
          </c:xVal>
          <c:yVal>
            <c:numRef>
              <c:f>Eigenverbrauchsquote!$D$8:$D$21</c:f>
              <c:numCache>
                <c:formatCode>0.0%</c:formatCode>
                <c:ptCount val="14"/>
                <c:pt idx="0">
                  <c:v>0.753</c:v>
                </c:pt>
                <c:pt idx="1">
                  <c:v>0.58599999999999997</c:v>
                </c:pt>
                <c:pt idx="2">
                  <c:v>0.49199999999999999</c:v>
                </c:pt>
                <c:pt idx="3">
                  <c:v>0.43</c:v>
                </c:pt>
                <c:pt idx="4">
                  <c:v>0.38500000000000001</c:v>
                </c:pt>
                <c:pt idx="5">
                  <c:v>0.31</c:v>
                </c:pt>
                <c:pt idx="6">
                  <c:v>0.24399999999999999</c:v>
                </c:pt>
                <c:pt idx="7">
                  <c:v>0.23200000000000001</c:v>
                </c:pt>
                <c:pt idx="8">
                  <c:v>0.20799999999999999</c:v>
                </c:pt>
                <c:pt idx="9">
                  <c:v>0.17199999999999999</c:v>
                </c:pt>
                <c:pt idx="10">
                  <c:v>0.14799999999999999</c:v>
                </c:pt>
                <c:pt idx="11">
                  <c:v>0.129</c:v>
                </c:pt>
                <c:pt idx="12">
                  <c:v>0.104</c:v>
                </c:pt>
                <c:pt idx="13">
                  <c:v>8.6999999999999994E-2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3B-4208-A267-7B452CA7C0F8}"/>
            </c:ext>
          </c:extLst>
        </c:ser>
        <c:ser>
          <c:idx val="1"/>
          <c:order val="1"/>
          <c:tx>
            <c:v>11 Wohnungen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Eigenverbrauchsquote!$C$8:$C$21</c:f>
              <c:numCache>
                <c:formatCode>0.00</c:formatCode>
                <c:ptCount val="1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0.75</c:v>
                </c:pt>
                <c:pt idx="6">
                  <c:v>1</c:v>
                </c:pt>
                <c:pt idx="7">
                  <c:v>1.25</c:v>
                </c:pt>
                <c:pt idx="8">
                  <c:v>1.5</c:v>
                </c:pt>
                <c:pt idx="9">
                  <c:v>2</c:v>
                </c:pt>
                <c:pt idx="10">
                  <c:v>2.5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</c:numCache>
            </c:numRef>
          </c:xVal>
          <c:yVal>
            <c:numRef>
              <c:f>Eigenverbrauchsquote!$E$8:$E$21</c:f>
              <c:numCache>
                <c:formatCode>0.0%</c:formatCode>
                <c:ptCount val="14"/>
                <c:pt idx="0">
                  <c:v>0.999</c:v>
                </c:pt>
                <c:pt idx="1">
                  <c:v>0.94399999999999995</c:v>
                </c:pt>
                <c:pt idx="2">
                  <c:v>0.84</c:v>
                </c:pt>
                <c:pt idx="3">
                  <c:v>0.73899999999999999</c:v>
                </c:pt>
                <c:pt idx="4">
                  <c:v>0.65500000000000003</c:v>
                </c:pt>
                <c:pt idx="5">
                  <c:v>0.504</c:v>
                </c:pt>
                <c:pt idx="6">
                  <c:v>0.40799999999999997</c:v>
                </c:pt>
                <c:pt idx="7">
                  <c:v>0.34300000000000003</c:v>
                </c:pt>
                <c:pt idx="8">
                  <c:v>0.29599999999999999</c:v>
                </c:pt>
                <c:pt idx="9">
                  <c:v>0.23200000000000001</c:v>
                </c:pt>
                <c:pt idx="10">
                  <c:v>0.191</c:v>
                </c:pt>
                <c:pt idx="11">
                  <c:v>0.16200000000000001</c:v>
                </c:pt>
                <c:pt idx="12">
                  <c:v>0.125</c:v>
                </c:pt>
                <c:pt idx="13">
                  <c:v>0.10100000000000001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3B-4208-A267-7B452CA7C0F8}"/>
            </c:ext>
          </c:extLst>
        </c:ser>
        <c:ser>
          <c:idx val="2"/>
          <c:order val="2"/>
          <c:tx>
            <c:v>59 Wohnungen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Eigenverbrauchsquote!$C$8:$C$21</c:f>
              <c:numCache>
                <c:formatCode>0.00</c:formatCode>
                <c:ptCount val="1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0.75</c:v>
                </c:pt>
                <c:pt idx="6">
                  <c:v>1</c:v>
                </c:pt>
                <c:pt idx="7">
                  <c:v>1.25</c:v>
                </c:pt>
                <c:pt idx="8">
                  <c:v>1.5</c:v>
                </c:pt>
                <c:pt idx="9">
                  <c:v>2</c:v>
                </c:pt>
                <c:pt idx="10">
                  <c:v>2.5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</c:numCache>
            </c:numRef>
          </c:xVal>
          <c:yVal>
            <c:numRef>
              <c:f>Eigenverbrauchsquote!$F$8:$F$21</c:f>
              <c:numCache>
                <c:formatCode>0.0%</c:formatCode>
                <c:ptCount val="14"/>
                <c:pt idx="0">
                  <c:v>1</c:v>
                </c:pt>
                <c:pt idx="1">
                  <c:v>0.95499999999999996</c:v>
                </c:pt>
                <c:pt idx="2">
                  <c:v>0.83599999999999997</c:v>
                </c:pt>
                <c:pt idx="3">
                  <c:v>0.72799999999999998</c:v>
                </c:pt>
                <c:pt idx="4">
                  <c:v>0.64</c:v>
                </c:pt>
                <c:pt idx="5">
                  <c:v>0.48599999999999999</c:v>
                </c:pt>
                <c:pt idx="6">
                  <c:v>0.38900000000000001</c:v>
                </c:pt>
                <c:pt idx="7">
                  <c:v>0.32500000000000001</c:v>
                </c:pt>
                <c:pt idx="8">
                  <c:v>0.27900000000000003</c:v>
                </c:pt>
                <c:pt idx="9">
                  <c:v>0.218</c:v>
                </c:pt>
                <c:pt idx="10">
                  <c:v>0.17899999999999999</c:v>
                </c:pt>
                <c:pt idx="11">
                  <c:v>0.152</c:v>
                </c:pt>
                <c:pt idx="12">
                  <c:v>0.11600000000000001</c:v>
                </c:pt>
                <c:pt idx="13">
                  <c:v>9.4E-2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3B-4208-A267-7B452CA7C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679407"/>
        <c:axId val="1450682767"/>
      </c:scatterChart>
      <c:valAx>
        <c:axId val="1450679407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Spezifische Größe der PV Anlage = Jahresstromertrag / Jahresstromverbrauch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682767"/>
        <c:crosses val="autoZero"/>
        <c:crossBetween val="midCat"/>
      </c:valAx>
      <c:valAx>
        <c:axId val="145068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Eigenverbrauchsquote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6794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6</xdr:row>
      <xdr:rowOff>185737</xdr:rowOff>
    </xdr:from>
    <xdr:to>
      <xdr:col>16</xdr:col>
      <xdr:colOff>19050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B75E9F-B668-41AC-3FDE-DF9582FA90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38099</xdr:rowOff>
    </xdr:from>
    <xdr:to>
      <xdr:col>2</xdr:col>
      <xdr:colOff>285750</xdr:colOff>
      <xdr:row>18</xdr:row>
      <xdr:rowOff>47624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893160F6-B475-446D-A2F8-5E3CCC7A01CF}"/>
            </a:ext>
          </a:extLst>
        </xdr:cNvPr>
        <xdr:cNvSpPr/>
      </xdr:nvSpPr>
      <xdr:spPr>
        <a:xfrm>
          <a:off x="3705225" y="3086099"/>
          <a:ext cx="1133475" cy="390525"/>
        </a:xfrm>
        <a:prstGeom prst="wedgeRoundRectCallout">
          <a:avLst>
            <a:gd name="adj1" fmla="val 4378"/>
            <a:gd name="adj2" fmla="val -398283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19050</xdr:colOff>
      <xdr:row>15</xdr:row>
      <xdr:rowOff>85725</xdr:rowOff>
    </xdr:from>
    <xdr:to>
      <xdr:col>3</xdr:col>
      <xdr:colOff>0</xdr:colOff>
      <xdr:row>19</xdr:row>
      <xdr:rowOff>9525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88541701-608F-44B0-B51E-8A0813810D03}"/>
            </a:ext>
          </a:extLst>
        </xdr:cNvPr>
        <xdr:cNvSpPr/>
      </xdr:nvSpPr>
      <xdr:spPr>
        <a:xfrm>
          <a:off x="19050" y="2943225"/>
          <a:ext cx="2781300" cy="685800"/>
        </a:xfrm>
        <a:prstGeom prst="wedgeRoundRectCallout">
          <a:avLst>
            <a:gd name="adj1" fmla="val 94993"/>
            <a:gd name="adj2" fmla="val 187626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Die Rendite so verstellen, dass das Kapital nach 20 Jahren aufgebraucht ist.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wald.de/waldwissen/wie-viel-kohlendioxid-co2-speichert-der-wald-bzw-ein-baum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umweltbundesamt.de/bild/durchschnittlicher-co2-fussabdruck-pro-kopf-in" TargetMode="External"/><Relationship Id="rId1" Type="http://schemas.openxmlformats.org/officeDocument/2006/relationships/hyperlink" Target="https://www.ffe.de/veroeffentlichungen/umweltbilanz-von-elektrofahrzeugen-potenziale-der-kreislaufwirtschaft/" TargetMode="External"/><Relationship Id="rId6" Type="http://schemas.openxmlformats.org/officeDocument/2006/relationships/hyperlink" Target="https://www.verivox.de/strom/" TargetMode="External"/><Relationship Id="rId5" Type="http://schemas.openxmlformats.org/officeDocument/2006/relationships/hyperlink" Target="https://assets.ctfassets.net/xytfb1vrn7of/fEyKny9vSL0zsgtzvGjiv/6f6fe41313fa7b200ed51694c32dc96c/messpreise-fuer-einspeiser-nach-dem-kraft-waerme-kopplungsgesetz-2022.pdf" TargetMode="External"/><Relationship Id="rId4" Type="http://schemas.openxmlformats.org/officeDocument/2006/relationships/hyperlink" Target="https://www.umweltbundesamt.de/themen/klima-energie/erneuerbare-energien/photovoltai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re.jrc.ec.europa.eu/pvg_tools/e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olarwirtschaft.de/datawall/uploads/2023/01/bsw_verguetungssaetze_aktuell.pdf" TargetMode="External"/><Relationship Id="rId1" Type="http://schemas.openxmlformats.org/officeDocument/2006/relationships/hyperlink" Target="https://www.solarwirtschaft.de/datawall/uploads/2023/01/bsw_verguetungssaetze_aktuell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AC8A-51DB-44CC-87D2-D10984CED971}">
  <dimension ref="A1:J80"/>
  <sheetViews>
    <sheetView tabSelected="1" workbookViewId="0">
      <pane ySplit="4" topLeftCell="A45" activePane="bottomLeft" state="frozen"/>
      <selection pane="bottomLeft" activeCell="J2" sqref="J2"/>
    </sheetView>
  </sheetViews>
  <sheetFormatPr defaultRowHeight="15" x14ac:dyDescent="0.25"/>
  <cols>
    <col min="1" max="1" width="5.28515625" customWidth="1"/>
    <col min="2" max="2" width="42.140625" customWidth="1"/>
    <col min="3" max="3" width="15.42578125" customWidth="1"/>
    <col min="4" max="4" width="23.140625" customWidth="1"/>
    <col min="5" max="7" width="20.7109375" customWidth="1"/>
    <col min="8" max="8" width="19.7109375" customWidth="1"/>
    <col min="9" max="9" width="4.140625" customWidth="1"/>
    <col min="10" max="10" width="51.42578125" customWidth="1"/>
  </cols>
  <sheetData>
    <row r="1" spans="1:10" ht="16.5" thickBot="1" x14ac:dyDescent="0.3">
      <c r="C1" s="63" t="s">
        <v>94</v>
      </c>
      <c r="D1" s="24" t="s">
        <v>157</v>
      </c>
      <c r="J1" s="137" t="s">
        <v>206</v>
      </c>
    </row>
    <row r="2" spans="1:10" ht="19.5" thickBot="1" x14ac:dyDescent="0.35">
      <c r="A2" s="4" t="s">
        <v>67</v>
      </c>
      <c r="J2" s="138" t="s">
        <v>127</v>
      </c>
    </row>
    <row r="3" spans="1:10" ht="16.5" thickBot="1" x14ac:dyDescent="0.3">
      <c r="B3" t="s">
        <v>113</v>
      </c>
      <c r="C3" s="134" t="s">
        <v>114</v>
      </c>
      <c r="E3" s="58" t="s">
        <v>183</v>
      </c>
      <c r="F3" s="58" t="s">
        <v>8</v>
      </c>
      <c r="G3" s="58" t="s">
        <v>90</v>
      </c>
      <c r="J3" s="139" t="s">
        <v>195</v>
      </c>
    </row>
    <row r="4" spans="1:10" ht="16.5" thickBot="1" x14ac:dyDescent="0.3">
      <c r="B4" t="s">
        <v>116</v>
      </c>
      <c r="C4" s="133">
        <v>59</v>
      </c>
      <c r="D4" t="s">
        <v>117</v>
      </c>
      <c r="E4" s="59" t="s">
        <v>184</v>
      </c>
      <c r="F4" s="59" t="s">
        <v>184</v>
      </c>
      <c r="G4" s="59" t="s">
        <v>184</v>
      </c>
      <c r="J4" s="139" t="s">
        <v>170</v>
      </c>
    </row>
    <row r="5" spans="1:10" ht="15.75" x14ac:dyDescent="0.25">
      <c r="C5" s="140"/>
      <c r="E5" s="141"/>
      <c r="F5" s="141"/>
      <c r="G5" s="141"/>
      <c r="J5" s="138" t="s">
        <v>128</v>
      </c>
    </row>
    <row r="6" spans="1:10" ht="19.5" thickBot="1" x14ac:dyDescent="0.35">
      <c r="A6" s="4" t="s">
        <v>39</v>
      </c>
      <c r="J6" s="137" t="s">
        <v>194</v>
      </c>
    </row>
    <row r="7" spans="1:10" ht="15.75" thickBot="1" x14ac:dyDescent="0.3">
      <c r="B7" t="s">
        <v>68</v>
      </c>
      <c r="C7" s="60">
        <v>45383</v>
      </c>
      <c r="D7" t="s">
        <v>69</v>
      </c>
      <c r="E7" s="50"/>
      <c r="F7" s="50"/>
      <c r="G7" s="50"/>
      <c r="J7" s="137" t="s">
        <v>200</v>
      </c>
    </row>
    <row r="8" spans="1:10" ht="15.75" thickBot="1" x14ac:dyDescent="0.3">
      <c r="B8" t="s">
        <v>118</v>
      </c>
      <c r="C8" s="23"/>
      <c r="E8" s="56">
        <v>95.5</v>
      </c>
      <c r="F8" s="56">
        <v>95.5</v>
      </c>
      <c r="G8" s="56">
        <v>95.5</v>
      </c>
      <c r="H8" t="s">
        <v>0</v>
      </c>
    </row>
    <row r="9" spans="1:10" ht="15.75" thickBot="1" x14ac:dyDescent="0.3">
      <c r="B9" t="s">
        <v>34</v>
      </c>
      <c r="E9" s="57">
        <v>0</v>
      </c>
      <c r="F9" s="57">
        <v>0</v>
      </c>
      <c r="G9" s="57">
        <v>0</v>
      </c>
      <c r="H9" t="s">
        <v>13</v>
      </c>
    </row>
    <row r="11" spans="1:10" s="4" customFormat="1" ht="19.5" thickBot="1" x14ac:dyDescent="0.35">
      <c r="A11" s="4" t="s">
        <v>11</v>
      </c>
    </row>
    <row r="12" spans="1:10" ht="15.75" thickBot="1" x14ac:dyDescent="0.3">
      <c r="A12" s="2"/>
      <c r="B12" s="42" t="s">
        <v>9</v>
      </c>
      <c r="C12" s="55">
        <v>1500</v>
      </c>
      <c r="D12" s="2" t="s">
        <v>20</v>
      </c>
      <c r="E12" s="11">
        <f>E8*$C12</f>
        <v>143250</v>
      </c>
      <c r="F12" s="11">
        <f t="shared" ref="F12:G12" si="0">F8*$C12</f>
        <v>143250</v>
      </c>
      <c r="G12" s="11">
        <f t="shared" si="0"/>
        <v>143250</v>
      </c>
      <c r="J12" t="s">
        <v>35</v>
      </c>
    </row>
    <row r="13" spans="1:10" ht="15.75" thickBot="1" x14ac:dyDescent="0.3">
      <c r="A13" s="2"/>
      <c r="B13" s="42" t="s">
        <v>111</v>
      </c>
      <c r="C13" s="55">
        <v>3000</v>
      </c>
      <c r="D13" s="2"/>
      <c r="E13" s="11">
        <f>$C13</f>
        <v>3000</v>
      </c>
      <c r="F13" s="11">
        <f t="shared" ref="F13:G13" si="1">$C13</f>
        <v>3000</v>
      </c>
      <c r="G13" s="11">
        <f t="shared" si="1"/>
        <v>3000</v>
      </c>
    </row>
    <row r="14" spans="1:10" ht="15.75" thickBot="1" x14ac:dyDescent="0.3">
      <c r="A14" s="2"/>
      <c r="B14" s="42" t="s">
        <v>115</v>
      </c>
      <c r="C14" s="11"/>
      <c r="D14" s="2"/>
      <c r="E14" s="135">
        <v>1</v>
      </c>
      <c r="F14" s="135">
        <v>0</v>
      </c>
      <c r="G14" s="135">
        <v>0</v>
      </c>
    </row>
    <row r="15" spans="1:10" ht="15.75" thickBot="1" x14ac:dyDescent="0.3">
      <c r="A15" s="2"/>
      <c r="B15" s="42" t="s">
        <v>192</v>
      </c>
      <c r="C15" s="55">
        <v>10000</v>
      </c>
      <c r="D15" s="2" t="s">
        <v>175</v>
      </c>
      <c r="E15" s="11">
        <f>IF(AND(E14,$C4&gt;=6),$C15,0)</f>
        <v>10000</v>
      </c>
      <c r="F15" s="11">
        <f t="shared" ref="F15:G15" si="2">IF(AND(F14,$C4&gt;=6),$C15,0)</f>
        <v>0</v>
      </c>
      <c r="G15" s="11">
        <f t="shared" si="2"/>
        <v>0</v>
      </c>
      <c r="J15" t="s">
        <v>193</v>
      </c>
    </row>
    <row r="16" spans="1:10" ht="15.75" thickBot="1" x14ac:dyDescent="0.3">
      <c r="A16" s="2"/>
      <c r="B16" s="42" t="s">
        <v>10</v>
      </c>
      <c r="C16" s="55">
        <v>700</v>
      </c>
      <c r="D16" s="2" t="s">
        <v>3</v>
      </c>
      <c r="E16" s="11">
        <f>E9*$C16</f>
        <v>0</v>
      </c>
      <c r="F16" s="11">
        <f>F9*$C16</f>
        <v>0</v>
      </c>
      <c r="G16" s="11">
        <f>G9*$C16</f>
        <v>0</v>
      </c>
      <c r="J16" t="s">
        <v>36</v>
      </c>
    </row>
    <row r="17" spans="1:10" ht="15.75" thickBot="1" x14ac:dyDescent="0.3">
      <c r="A17" s="2"/>
      <c r="B17" s="42" t="s">
        <v>204</v>
      </c>
      <c r="C17" s="11"/>
      <c r="D17" s="2"/>
      <c r="E17" s="173">
        <v>0</v>
      </c>
      <c r="F17" s="55">
        <v>0</v>
      </c>
      <c r="G17" s="55">
        <v>0</v>
      </c>
    </row>
    <row r="18" spans="1:10" x14ac:dyDescent="0.25">
      <c r="A18" s="2"/>
      <c r="B18" s="158" t="s">
        <v>11</v>
      </c>
      <c r="C18" s="160"/>
      <c r="D18" s="158"/>
      <c r="E18" s="159">
        <f>E12+E13+E15+E16+E17</f>
        <v>156250</v>
      </c>
      <c r="F18" s="159">
        <f t="shared" ref="F18:G18" si="3">F12+F13+F15+F16+F17</f>
        <v>146250</v>
      </c>
      <c r="G18" s="159">
        <f t="shared" si="3"/>
        <v>146250</v>
      </c>
      <c r="H18" s="158"/>
      <c r="J18" s="8" t="s">
        <v>112</v>
      </c>
    </row>
    <row r="20" spans="1:10" s="99" customFormat="1" ht="19.5" thickBot="1" x14ac:dyDescent="0.35">
      <c r="A20" s="99" t="s">
        <v>37</v>
      </c>
    </row>
    <row r="21" spans="1:10" ht="15.75" thickBot="1" x14ac:dyDescent="0.3">
      <c r="B21" s="39" t="s">
        <v>156</v>
      </c>
      <c r="D21" t="s">
        <v>157</v>
      </c>
      <c r="E21" s="51">
        <v>917</v>
      </c>
      <c r="F21" s="51">
        <v>1031</v>
      </c>
      <c r="G21" s="51">
        <v>917</v>
      </c>
      <c r="H21" t="s">
        <v>56</v>
      </c>
      <c r="J21" s="35"/>
    </row>
    <row r="22" spans="1:10" ht="15.75" thickBot="1" x14ac:dyDescent="0.3">
      <c r="B22" s="39" t="s">
        <v>74</v>
      </c>
      <c r="C22" s="132">
        <v>2E-3</v>
      </c>
      <c r="D22" s="2" t="s">
        <v>7</v>
      </c>
      <c r="E22" s="43">
        <f>$C22*20/2</f>
        <v>0.02</v>
      </c>
      <c r="F22" s="43">
        <f t="shared" ref="F22:G22" si="4">$C22*20/2</f>
        <v>0.02</v>
      </c>
      <c r="G22" s="43">
        <f t="shared" si="4"/>
        <v>0.02</v>
      </c>
      <c r="J22" t="s">
        <v>75</v>
      </c>
    </row>
    <row r="23" spans="1:10" x14ac:dyDescent="0.25">
      <c r="B23" s="15" t="s">
        <v>12</v>
      </c>
      <c r="C23" s="131"/>
      <c r="D23" s="15"/>
      <c r="E23" s="16">
        <f>E8*E21*(1-E22)</f>
        <v>85822.03</v>
      </c>
      <c r="F23" s="16">
        <f>F8*F21*(1-F22)</f>
        <v>96491.29</v>
      </c>
      <c r="G23" s="16">
        <f>G8*G21*(1-G22)</f>
        <v>85822.03</v>
      </c>
      <c r="H23" s="15" t="s">
        <v>6</v>
      </c>
      <c r="J23" s="9" t="s">
        <v>122</v>
      </c>
    </row>
    <row r="24" spans="1:10" ht="15.75" thickBot="1" x14ac:dyDescent="0.3">
      <c r="C24" s="1"/>
      <c r="E24" s="10"/>
      <c r="F24" s="10"/>
      <c r="G24" s="10"/>
      <c r="J24" s="9"/>
    </row>
    <row r="25" spans="1:10" ht="15.75" thickBot="1" x14ac:dyDescent="0.3">
      <c r="B25" s="39" t="s">
        <v>168</v>
      </c>
      <c r="C25" s="84">
        <v>100000</v>
      </c>
      <c r="D25" t="s">
        <v>6</v>
      </c>
      <c r="E25" s="10"/>
      <c r="F25" s="10"/>
      <c r="G25" s="10"/>
      <c r="J25" s="35"/>
    </row>
    <row r="26" spans="1:10" x14ac:dyDescent="0.25">
      <c r="B26" s="39" t="s">
        <v>93</v>
      </c>
      <c r="C26" s="84">
        <v>54000</v>
      </c>
      <c r="D26" t="s">
        <v>6</v>
      </c>
      <c r="E26" s="10"/>
      <c r="F26" s="10"/>
      <c r="G26" s="10"/>
      <c r="J26" s="35"/>
    </row>
    <row r="27" spans="1:10" x14ac:dyDescent="0.25">
      <c r="B27" s="155" t="s">
        <v>123</v>
      </c>
      <c r="C27" s="156">
        <f>C25+C26</f>
        <v>154000</v>
      </c>
      <c r="D27" t="s">
        <v>6</v>
      </c>
      <c r="E27" s="10"/>
      <c r="F27" s="10"/>
      <c r="G27" s="10"/>
      <c r="J27" s="35"/>
    </row>
    <row r="28" spans="1:10" s="21" customFormat="1" x14ac:dyDescent="0.25">
      <c r="B28" s="70" t="s">
        <v>147</v>
      </c>
      <c r="C28" s="22"/>
      <c r="E28" s="169">
        <f>$C27</f>
        <v>154000</v>
      </c>
      <c r="F28" s="169">
        <v>0</v>
      </c>
      <c r="G28" s="169">
        <f>$C26</f>
        <v>54000</v>
      </c>
      <c r="H28" s="21" t="s">
        <v>6</v>
      </c>
      <c r="J28" s="136" t="s">
        <v>185</v>
      </c>
    </row>
    <row r="29" spans="1:10" s="21" customFormat="1" x14ac:dyDescent="0.25">
      <c r="B29" s="70" t="s">
        <v>120</v>
      </c>
      <c r="C29" s="22"/>
      <c r="E29" s="168">
        <f>IF(E28=0,0,E23/E28)</f>
        <v>0.55728590909090914</v>
      </c>
      <c r="F29" s="168">
        <f t="shared" ref="F29:G29" si="5">IF(F28=0,0,F23/F28)</f>
        <v>0</v>
      </c>
      <c r="G29" s="168">
        <f t="shared" si="5"/>
        <v>1.5892968518518518</v>
      </c>
      <c r="J29" s="136" t="s">
        <v>121</v>
      </c>
    </row>
    <row r="30" spans="1:10" x14ac:dyDescent="0.25">
      <c r="B30" s="39" t="s">
        <v>196</v>
      </c>
      <c r="C30" s="170"/>
      <c r="E30" s="171">
        <v>0.52700000000000002</v>
      </c>
      <c r="F30" s="171">
        <v>0</v>
      </c>
      <c r="G30" s="171">
        <v>0.222</v>
      </c>
    </row>
    <row r="31" spans="1:10" x14ac:dyDescent="0.25">
      <c r="B31" s="15" t="s">
        <v>1</v>
      </c>
      <c r="C31" s="15"/>
      <c r="D31" s="15"/>
      <c r="E31" s="17">
        <f>E23*E30</f>
        <v>45228.20981</v>
      </c>
      <c r="F31" s="17">
        <f>F23*F30</f>
        <v>0</v>
      </c>
      <c r="G31" s="17">
        <f>G23*G30</f>
        <v>19052.490659999999</v>
      </c>
      <c r="H31" s="15" t="s">
        <v>6</v>
      </c>
      <c r="J31" t="s">
        <v>26</v>
      </c>
    </row>
    <row r="32" spans="1:10" x14ac:dyDescent="0.25">
      <c r="E32" s="5"/>
      <c r="F32" s="5"/>
      <c r="G32" s="5"/>
    </row>
    <row r="33" spans="1:10" x14ac:dyDescent="0.25">
      <c r="B33" s="94" t="s">
        <v>119</v>
      </c>
      <c r="C33" s="94"/>
      <c r="D33" s="94"/>
      <c r="E33" s="93">
        <f>E30</f>
        <v>0.52700000000000002</v>
      </c>
      <c r="F33" s="93">
        <f t="shared" ref="F33:G33" si="6">F30</f>
        <v>0</v>
      </c>
      <c r="G33" s="93">
        <f t="shared" si="6"/>
        <v>0.222</v>
      </c>
      <c r="H33" s="94"/>
    </row>
    <row r="34" spans="1:10" s="85" customFormat="1" x14ac:dyDescent="0.25">
      <c r="B34" s="92" t="s">
        <v>92</v>
      </c>
      <c r="C34" s="92"/>
      <c r="D34" s="92"/>
      <c r="E34" s="93">
        <f>E31/$C27</f>
        <v>0.29368967409090907</v>
      </c>
      <c r="F34" s="93">
        <f t="shared" ref="F34:G34" si="7">F31/$C27</f>
        <v>0</v>
      </c>
      <c r="G34" s="93">
        <f t="shared" si="7"/>
        <v>0.12371747181818181</v>
      </c>
      <c r="H34" s="92"/>
      <c r="J34" s="85" t="s">
        <v>124</v>
      </c>
    </row>
    <row r="35" spans="1:10" x14ac:dyDescent="0.25">
      <c r="B35" s="94" t="s">
        <v>110</v>
      </c>
      <c r="C35" s="94"/>
      <c r="D35" s="94"/>
      <c r="E35" s="93">
        <f>E23/$C27</f>
        <v>0.55728590909090914</v>
      </c>
      <c r="F35" s="93">
        <f t="shared" ref="F35:G35" si="8">F23/$C27</f>
        <v>0.62656681818181814</v>
      </c>
      <c r="G35" s="93">
        <f t="shared" si="8"/>
        <v>0.55728590909090914</v>
      </c>
      <c r="H35" s="94"/>
      <c r="J35" t="s">
        <v>125</v>
      </c>
    </row>
    <row r="36" spans="1:10" x14ac:dyDescent="0.25">
      <c r="B36" s="94" t="s">
        <v>58</v>
      </c>
      <c r="C36" s="94"/>
      <c r="D36" s="94"/>
      <c r="E36" s="95">
        <f>$C27-E31</f>
        <v>108771.79019</v>
      </c>
      <c r="F36" s="95">
        <f>$C25-F31</f>
        <v>100000</v>
      </c>
      <c r="G36" s="95">
        <f>$C25-G31</f>
        <v>80947.509340000004</v>
      </c>
      <c r="H36" s="94" t="s">
        <v>6</v>
      </c>
      <c r="J36" t="s">
        <v>126</v>
      </c>
    </row>
    <row r="37" spans="1:10" x14ac:dyDescent="0.25">
      <c r="B37" s="94" t="s">
        <v>5</v>
      </c>
      <c r="C37" s="94"/>
      <c r="D37" s="94"/>
      <c r="E37" s="96">
        <f>E23-E31</f>
        <v>40593.820189999999</v>
      </c>
      <c r="F37" s="96">
        <f>F23-F31</f>
        <v>96491.29</v>
      </c>
      <c r="G37" s="96">
        <f>G23-G31</f>
        <v>66769.539340000003</v>
      </c>
      <c r="H37" s="94" t="s">
        <v>6</v>
      </c>
      <c r="J37" t="s">
        <v>21</v>
      </c>
    </row>
    <row r="39" spans="1:10" s="100" customFormat="1" ht="18.75" x14ac:dyDescent="0.3">
      <c r="A39" s="100" t="s">
        <v>105</v>
      </c>
    </row>
    <row r="40" spans="1:10" ht="15.75" thickBot="1" x14ac:dyDescent="0.3">
      <c r="B40" s="39" t="s">
        <v>1</v>
      </c>
      <c r="E40" s="5">
        <f>E31</f>
        <v>45228.20981</v>
      </c>
      <c r="F40" s="5">
        <f>F31</f>
        <v>0</v>
      </c>
      <c r="G40" s="5">
        <f>G31</f>
        <v>19052.490659999999</v>
      </c>
      <c r="H40" t="s">
        <v>6</v>
      </c>
      <c r="J40" t="s">
        <v>38</v>
      </c>
    </row>
    <row r="41" spans="1:10" ht="15.75" thickBot="1" x14ac:dyDescent="0.3">
      <c r="B41" s="39" t="s">
        <v>15</v>
      </c>
      <c r="C41" s="62"/>
      <c r="D41" s="61"/>
      <c r="E41" s="54">
        <v>0.3</v>
      </c>
      <c r="F41" s="54">
        <v>0.3</v>
      </c>
      <c r="G41" s="54">
        <v>0.3</v>
      </c>
      <c r="H41" s="7" t="s">
        <v>91</v>
      </c>
      <c r="I41" s="2"/>
      <c r="J41" s="35" t="s">
        <v>191</v>
      </c>
    </row>
    <row r="42" spans="1:10" x14ac:dyDescent="0.25">
      <c r="B42" s="158" t="s">
        <v>141</v>
      </c>
      <c r="C42" s="158"/>
      <c r="D42" s="161"/>
      <c r="E42" s="159">
        <f>E40*E41</f>
        <v>13568.462943</v>
      </c>
      <c r="F42" s="159">
        <f>F40*F41</f>
        <v>0</v>
      </c>
      <c r="G42" s="159">
        <f>G40*G41</f>
        <v>5715.747198</v>
      </c>
      <c r="H42" s="162" t="s">
        <v>7</v>
      </c>
      <c r="I42" s="2"/>
      <c r="J42" t="s">
        <v>22</v>
      </c>
    </row>
    <row r="44" spans="1:10" x14ac:dyDescent="0.25">
      <c r="B44" s="39" t="s">
        <v>5</v>
      </c>
      <c r="E44" s="5">
        <f>E37</f>
        <v>40593.820189999999</v>
      </c>
      <c r="F44" s="5">
        <f>F37</f>
        <v>96491.29</v>
      </c>
      <c r="G44" s="5">
        <f>G37</f>
        <v>66769.539340000003</v>
      </c>
      <c r="H44" s="2" t="s">
        <v>6</v>
      </c>
      <c r="I44" s="2"/>
    </row>
    <row r="45" spans="1:10" x14ac:dyDescent="0.25">
      <c r="B45" s="39" t="s">
        <v>24</v>
      </c>
      <c r="E45" s="13">
        <f>VLOOKUP(E8,Einspeisevergütung!$A$19:$G$119,IF(E30=0,7,6),TRUE)</f>
        <v>6.398526315789474E-2</v>
      </c>
      <c r="F45" s="13">
        <f>VLOOKUP(F8,Einspeisevergütung!$A$19:$G$119,IF(F30=0,7,6),TRUE)</f>
        <v>0.11009842105263158</v>
      </c>
      <c r="G45" s="13">
        <f>VLOOKUP(G8,Einspeisevergütung!$A$19:$G$119,IF(G30=0,7,6),TRUE)</f>
        <v>6.398526315789474E-2</v>
      </c>
      <c r="H45" s="2" t="s">
        <v>91</v>
      </c>
      <c r="I45" s="2"/>
      <c r="J45" t="s">
        <v>186</v>
      </c>
    </row>
    <row r="46" spans="1:10" x14ac:dyDescent="0.25">
      <c r="B46" s="158" t="s">
        <v>142</v>
      </c>
      <c r="C46" s="158"/>
      <c r="D46" s="158"/>
      <c r="E46" s="160">
        <f>E44*E45</f>
        <v>2597.4062674414104</v>
      </c>
      <c r="F46" s="160">
        <f t="shared" ref="F46:G46" si="9">F44*F45</f>
        <v>10623.538674331579</v>
      </c>
      <c r="G46" s="160">
        <f t="shared" si="9"/>
        <v>4272.2665456013056</v>
      </c>
      <c r="H46" s="162" t="s">
        <v>7</v>
      </c>
      <c r="I46" s="2"/>
      <c r="J46" t="s">
        <v>25</v>
      </c>
    </row>
    <row r="47" spans="1:10" x14ac:dyDescent="0.25">
      <c r="E47" s="11"/>
      <c r="F47" s="11"/>
      <c r="G47" s="11"/>
      <c r="H47" s="2"/>
      <c r="I47" s="2"/>
    </row>
    <row r="48" spans="1:10" ht="15.75" thickBot="1" x14ac:dyDescent="0.3">
      <c r="B48" s="125" t="s">
        <v>169</v>
      </c>
      <c r="E48" s="11"/>
      <c r="F48" s="11"/>
      <c r="G48" s="11"/>
      <c r="H48" s="2"/>
      <c r="I48" s="2"/>
    </row>
    <row r="49" spans="2:10" ht="15.75" thickBot="1" x14ac:dyDescent="0.3">
      <c r="B49" s="163" t="s">
        <v>143</v>
      </c>
      <c r="C49" s="164">
        <v>150</v>
      </c>
      <c r="D49" s="162" t="s">
        <v>172</v>
      </c>
      <c r="E49" s="160">
        <f>IF(E14=0,0,$C49*$C4)</f>
        <v>8850</v>
      </c>
      <c r="F49" s="160">
        <f t="shared" ref="F49:G49" si="10">IF(F14=0,0,$C49*$C4)</f>
        <v>0</v>
      </c>
      <c r="G49" s="160">
        <f t="shared" si="10"/>
        <v>0</v>
      </c>
      <c r="H49" s="162" t="s">
        <v>7</v>
      </c>
      <c r="I49" s="2"/>
      <c r="J49" t="s">
        <v>182</v>
      </c>
    </row>
    <row r="50" spans="2:10" ht="15.75" thickBot="1" x14ac:dyDescent="0.3">
      <c r="E50" s="11"/>
      <c r="F50" s="11"/>
      <c r="G50" s="11"/>
      <c r="H50" s="2"/>
      <c r="I50" s="2"/>
    </row>
    <row r="51" spans="2:10" ht="15.75" thickBot="1" x14ac:dyDescent="0.3">
      <c r="B51" t="s">
        <v>171</v>
      </c>
      <c r="C51" s="53">
        <v>5.0000000000000001E-3</v>
      </c>
      <c r="D51" s="2" t="s">
        <v>144</v>
      </c>
      <c r="E51" s="157">
        <f>E18*$C51</f>
        <v>781.25</v>
      </c>
      <c r="F51" s="157">
        <f t="shared" ref="F51:G51" si="11">F18*$C51</f>
        <v>731.25</v>
      </c>
      <c r="G51" s="157">
        <f t="shared" si="11"/>
        <v>731.25</v>
      </c>
      <c r="H51" s="2" t="s">
        <v>7</v>
      </c>
      <c r="I51" s="2"/>
    </row>
    <row r="52" spans="2:10" ht="15.75" thickBot="1" x14ac:dyDescent="0.3">
      <c r="B52" t="s">
        <v>173</v>
      </c>
      <c r="C52" s="165">
        <v>20</v>
      </c>
      <c r="D52" s="2" t="s">
        <v>180</v>
      </c>
      <c r="E52" s="11">
        <f>IF(E14=0,0,$C52*($C4+1))</f>
        <v>1200</v>
      </c>
      <c r="F52" s="11">
        <f>IF(F14=0,0,$C52*($C4+1))</f>
        <v>0</v>
      </c>
      <c r="G52" s="11">
        <f>IF(G14=0,0,$C52*($C4+1))</f>
        <v>0</v>
      </c>
      <c r="H52" s="2" t="s">
        <v>7</v>
      </c>
      <c r="I52" s="2"/>
      <c r="J52" t="s">
        <v>177</v>
      </c>
    </row>
    <row r="53" spans="2:10" ht="15.75" thickBot="1" x14ac:dyDescent="0.3">
      <c r="B53" t="s">
        <v>174</v>
      </c>
      <c r="C53" s="52">
        <v>67</v>
      </c>
      <c r="D53" s="2" t="s">
        <v>181</v>
      </c>
      <c r="E53" s="11">
        <f>IF(E15=0,0,$C53)</f>
        <v>67</v>
      </c>
      <c r="F53" s="11">
        <f>IF(F15=0,0,$C53)</f>
        <v>0</v>
      </c>
      <c r="G53" s="11">
        <f>IF(G15=0,0,$C53)</f>
        <v>0</v>
      </c>
      <c r="H53" s="2" t="s">
        <v>7</v>
      </c>
      <c r="I53" s="2"/>
      <c r="J53" s="35" t="s">
        <v>176</v>
      </c>
    </row>
    <row r="54" spans="2:10" ht="15.75" thickBot="1" x14ac:dyDescent="0.3">
      <c r="B54" t="s">
        <v>205</v>
      </c>
      <c r="C54" s="174"/>
      <c r="D54" s="2"/>
      <c r="E54" s="55">
        <v>0</v>
      </c>
      <c r="F54" s="55">
        <v>0</v>
      </c>
      <c r="G54" s="55">
        <v>0</v>
      </c>
      <c r="H54" s="2" t="s">
        <v>7</v>
      </c>
      <c r="I54" s="2"/>
      <c r="J54" s="35"/>
    </row>
    <row r="55" spans="2:10" x14ac:dyDescent="0.25">
      <c r="B55" s="158" t="s">
        <v>188</v>
      </c>
      <c r="C55" s="158"/>
      <c r="D55" s="158"/>
      <c r="E55" s="175">
        <f>SUM(E51:E54)</f>
        <v>2048.25</v>
      </c>
      <c r="F55" s="175">
        <f t="shared" ref="F55:G55" si="12">SUM(F51:F54)</f>
        <v>731.25</v>
      </c>
      <c r="G55" s="175">
        <f t="shared" si="12"/>
        <v>731.25</v>
      </c>
      <c r="H55" s="162" t="s">
        <v>7</v>
      </c>
      <c r="I55" s="2"/>
      <c r="J55" t="s">
        <v>150</v>
      </c>
    </row>
    <row r="56" spans="2:10" ht="15.75" thickBot="1" x14ac:dyDescent="0.3">
      <c r="B56" s="46"/>
      <c r="C56" s="47"/>
      <c r="D56" s="48"/>
      <c r="E56" s="49"/>
      <c r="F56" s="49"/>
      <c r="G56" s="49"/>
      <c r="H56" s="48"/>
      <c r="I56" s="2"/>
    </row>
    <row r="57" spans="2:10" ht="15.75" thickTop="1" x14ac:dyDescent="0.25">
      <c r="B57" s="125" t="s">
        <v>178</v>
      </c>
      <c r="C57" s="125" t="s">
        <v>152</v>
      </c>
      <c r="D57" s="125"/>
      <c r="E57" s="126">
        <f>E42+E46+E49-E55</f>
        <v>22967.619210441411</v>
      </c>
      <c r="F57" s="126">
        <f>F42+F46+F49-F55</f>
        <v>9892.2886743315794</v>
      </c>
      <c r="G57" s="126">
        <f>G42+G46+G49-G55</f>
        <v>9256.7637436013065</v>
      </c>
      <c r="H57" s="127" t="s">
        <v>7</v>
      </c>
      <c r="I57" s="2"/>
      <c r="J57" t="s">
        <v>199</v>
      </c>
    </row>
    <row r="58" spans="2:10" s="6" customFormat="1" ht="15.75" x14ac:dyDescent="0.25">
      <c r="B58" s="148" t="s">
        <v>197</v>
      </c>
      <c r="C58" s="40"/>
      <c r="D58" s="40"/>
      <c r="E58" s="172">
        <f>E57*20</f>
        <v>459352.38420882821</v>
      </c>
      <c r="F58" s="172">
        <f>F57*20</f>
        <v>197845.77348663157</v>
      </c>
      <c r="G58" s="172">
        <f>G57*20</f>
        <v>185135.27487202612</v>
      </c>
      <c r="H58" s="40"/>
      <c r="I58" s="18"/>
      <c r="J58" s="6" t="s">
        <v>198</v>
      </c>
    </row>
    <row r="59" spans="2:10" s="6" customFormat="1" ht="15.75" x14ac:dyDescent="0.25">
      <c r="B59" s="148" t="s">
        <v>4</v>
      </c>
      <c r="C59" s="40"/>
      <c r="D59" s="40"/>
      <c r="E59" s="41">
        <f>E18/E57</f>
        <v>6.8030560141369154</v>
      </c>
      <c r="F59" s="41">
        <f>F18/F57</f>
        <v>14.784243041702592</v>
      </c>
      <c r="G59" s="41">
        <f>G18/G57</f>
        <v>15.799258147977969</v>
      </c>
      <c r="H59" s="40" t="s">
        <v>2</v>
      </c>
      <c r="I59" s="18"/>
      <c r="J59" s="6" t="s">
        <v>190</v>
      </c>
    </row>
    <row r="60" spans="2:10" s="6" customFormat="1" ht="15.75" x14ac:dyDescent="0.25">
      <c r="B60" s="148" t="s">
        <v>108</v>
      </c>
      <c r="C60" s="40"/>
      <c r="D60" s="40"/>
      <c r="E60" s="97">
        <f>YIELD(DATE(2001,1,1),DATE(2020,12,31),1/E59,100,0.01,1)</f>
        <v>0.13538749301394554</v>
      </c>
      <c r="F60" s="97">
        <f t="shared" ref="F60:G60" si="13">YIELD(DATE(2001,1,1),DATE(2020,12,31),1/F59,100,0.01,1)</f>
        <v>3.0675586301196458E-2</v>
      </c>
      <c r="G60" s="97">
        <f t="shared" si="13"/>
        <v>2.358200371101184E-2</v>
      </c>
      <c r="H60" s="40" t="s">
        <v>86</v>
      </c>
      <c r="I60" s="18"/>
      <c r="J60" s="6" t="s">
        <v>109</v>
      </c>
    </row>
    <row r="61" spans="2:10" s="6" customFormat="1" ht="16.5" thickBot="1" x14ac:dyDescent="0.3">
      <c r="B61" s="18"/>
      <c r="C61" s="18"/>
      <c r="D61" s="18"/>
      <c r="E61" s="147"/>
      <c r="F61" s="147"/>
      <c r="G61" s="147"/>
      <c r="H61" s="18"/>
      <c r="I61" s="18"/>
    </row>
    <row r="62" spans="2:10" s="6" customFormat="1" ht="16.5" thickTop="1" x14ac:dyDescent="0.25">
      <c r="B62" s="149" t="s">
        <v>179</v>
      </c>
      <c r="C62" s="149" t="s">
        <v>151</v>
      </c>
      <c r="D62" s="149"/>
      <c r="E62" s="150">
        <f>E42+E46-E55</f>
        <v>14117.619210441411</v>
      </c>
      <c r="F62" s="150">
        <f>F42+F46-F55</f>
        <v>9892.2886743315794</v>
      </c>
      <c r="G62" s="150">
        <f>G42+G46-G55</f>
        <v>9256.7637436013065</v>
      </c>
      <c r="H62" s="151" t="s">
        <v>7</v>
      </c>
      <c r="I62" s="2"/>
      <c r="J62" t="s">
        <v>189</v>
      </c>
    </row>
    <row r="63" spans="2:10" s="6" customFormat="1" ht="15.75" x14ac:dyDescent="0.25">
      <c r="B63" s="148" t="s">
        <v>4</v>
      </c>
      <c r="C63" s="40"/>
      <c r="D63" s="40"/>
      <c r="E63" s="41">
        <f>E18/E62</f>
        <v>11.0677301654685</v>
      </c>
      <c r="F63" s="41">
        <f>F18/F62</f>
        <v>14.784243041702592</v>
      </c>
      <c r="G63" s="41">
        <f>G18/G62</f>
        <v>15.799258147977969</v>
      </c>
      <c r="H63" s="40" t="s">
        <v>2</v>
      </c>
      <c r="I63" s="2"/>
      <c r="J63" s="6" t="s">
        <v>190</v>
      </c>
    </row>
    <row r="64" spans="2:10" s="6" customFormat="1" ht="15.75" x14ac:dyDescent="0.25">
      <c r="B64" s="148" t="s">
        <v>108</v>
      </c>
      <c r="C64" s="40"/>
      <c r="D64" s="40"/>
      <c r="E64" s="97">
        <f>YIELD(DATE(2001,1,1),DATE(2020,12,31),1/E63,100,0.01,1)</f>
        <v>6.4433405662025489E-2</v>
      </c>
      <c r="F64" s="97">
        <f t="shared" ref="F64:G64" si="14">YIELD(DATE(2001,1,1),DATE(2020,12,31),1/F63,100,0.01,1)</f>
        <v>3.0675586301196458E-2</v>
      </c>
      <c r="G64" s="97">
        <f t="shared" si="14"/>
        <v>2.358200371101184E-2</v>
      </c>
      <c r="H64" s="40" t="s">
        <v>86</v>
      </c>
      <c r="I64" s="18"/>
      <c r="J64" s="6" t="s">
        <v>109</v>
      </c>
    </row>
    <row r="65" spans="1:10" s="6" customFormat="1" ht="15.75" x14ac:dyDescent="0.25">
      <c r="B65" s="18"/>
      <c r="C65" s="18"/>
      <c r="D65" s="18"/>
      <c r="E65" s="86"/>
      <c r="F65" s="86"/>
      <c r="G65" s="86"/>
      <c r="H65" s="18"/>
      <c r="I65" s="18"/>
    </row>
    <row r="66" spans="1:10" s="117" customFormat="1" ht="21" x14ac:dyDescent="0.35">
      <c r="A66" s="114" t="s">
        <v>201</v>
      </c>
      <c r="B66" s="115"/>
      <c r="C66" s="115"/>
      <c r="D66" s="115"/>
      <c r="E66" s="116"/>
      <c r="F66" s="116"/>
      <c r="G66" s="116"/>
      <c r="H66" s="115"/>
      <c r="I66" s="115"/>
    </row>
    <row r="67" spans="1:10" s="87" customFormat="1" ht="16.5" thickBot="1" x14ac:dyDescent="0.3">
      <c r="B67" s="118" t="s">
        <v>96</v>
      </c>
      <c r="C67" s="119"/>
      <c r="D67" s="119"/>
      <c r="E67" s="120">
        <f>E18/$C4</f>
        <v>2648.3050847457625</v>
      </c>
      <c r="F67" s="120">
        <f>F18/$C4</f>
        <v>2478.8135593220341</v>
      </c>
      <c r="G67" s="120">
        <f>G18/$C4</f>
        <v>2478.8135593220341</v>
      </c>
      <c r="H67" s="124" t="s">
        <v>106</v>
      </c>
    </row>
    <row r="68" spans="1:10" s="6" customFormat="1" ht="16.5" thickBot="1" x14ac:dyDescent="0.3">
      <c r="B68" s="117" t="s">
        <v>97</v>
      </c>
      <c r="C68" s="128">
        <v>20</v>
      </c>
      <c r="D68" s="117" t="s">
        <v>57</v>
      </c>
      <c r="E68" s="121">
        <f>E67/$C68/12</f>
        <v>11.034604519774012</v>
      </c>
      <c r="F68" s="121">
        <f>F67/$C68/12</f>
        <v>10.328389830508476</v>
      </c>
      <c r="G68" s="121">
        <f>G67/$C68/12</f>
        <v>10.328389830508476</v>
      </c>
      <c r="H68" s="122" t="s">
        <v>107</v>
      </c>
    </row>
    <row r="69" spans="1:10" s="6" customFormat="1" ht="16.5" thickBot="1" x14ac:dyDescent="0.3">
      <c r="B69" s="117" t="s">
        <v>202</v>
      </c>
      <c r="C69" s="129">
        <v>0.06</v>
      </c>
      <c r="D69" s="117" t="s">
        <v>95</v>
      </c>
      <c r="E69" s="116"/>
      <c r="F69" s="116"/>
      <c r="G69" s="116"/>
      <c r="H69" s="116"/>
      <c r="J69" s="6" t="s">
        <v>187</v>
      </c>
    </row>
    <row r="70" spans="1:10" s="6" customFormat="1" ht="15.75" x14ac:dyDescent="0.25">
      <c r="B70" s="152" t="s">
        <v>145</v>
      </c>
      <c r="C70" s="116"/>
      <c r="D70" s="116"/>
      <c r="E70" s="166">
        <f>IF(E60&lt;$C69,"Nicht möglich",NPER($C69,E57,-E18,0,0))</f>
        <v>9.0023726224830476</v>
      </c>
      <c r="F70" s="166" t="str">
        <f>IF(F60&lt;$C69,"Nicht möglich",NPER($C69,F57,-F18,0,0))</f>
        <v>Nicht möglich</v>
      </c>
      <c r="G70" s="123" t="str">
        <f>IF(G60&lt;$C69,"Nicht möglich",NPER($C69,G57,-G18,0,0))</f>
        <v>Nicht möglich</v>
      </c>
      <c r="H70" s="117" t="s">
        <v>2</v>
      </c>
    </row>
    <row r="71" spans="1:10" s="6" customFormat="1" ht="15.75" x14ac:dyDescent="0.25">
      <c r="B71" s="152" t="s">
        <v>146</v>
      </c>
      <c r="C71" s="116"/>
      <c r="D71" s="116"/>
      <c r="E71" s="167">
        <f>IF(E64&lt;$C69,"Nicht möglich",NPER($C69,E62,-E18,0,0))</f>
        <v>18.720687973655352</v>
      </c>
      <c r="F71" s="123" t="str">
        <f>IF(F64&lt;$C69,"Nicht möglich",NPER($C69,F62,-F18,0,0))</f>
        <v>Nicht möglich</v>
      </c>
      <c r="G71" s="123" t="str">
        <f>IF(G64&lt;$C69,"Nicht möglich",NPER($C69,G62,-G18,0,0))</f>
        <v>Nicht möglich</v>
      </c>
      <c r="H71" s="117" t="s">
        <v>2</v>
      </c>
    </row>
    <row r="72" spans="1:10" s="6" customFormat="1" ht="15.75" x14ac:dyDescent="0.25">
      <c r="B72" s="18"/>
      <c r="C72" s="18"/>
      <c r="D72" s="18"/>
      <c r="E72" s="86"/>
      <c r="F72" s="86"/>
      <c r="G72" s="86"/>
      <c r="H72" s="18"/>
      <c r="I72" s="18"/>
    </row>
    <row r="73" spans="1:10" s="101" customFormat="1" ht="18.75" x14ac:dyDescent="0.3">
      <c r="A73" s="101" t="s">
        <v>64</v>
      </c>
    </row>
    <row r="74" spans="1:10" s="98" customFormat="1" x14ac:dyDescent="0.25">
      <c r="B74" s="102" t="s">
        <v>12</v>
      </c>
      <c r="C74" s="102"/>
      <c r="D74" s="102"/>
      <c r="E74" s="103">
        <f>E23</f>
        <v>85822.03</v>
      </c>
      <c r="F74" s="103">
        <f>F23</f>
        <v>96491.29</v>
      </c>
      <c r="G74" s="103">
        <f>G23</f>
        <v>85822.03</v>
      </c>
      <c r="H74" s="102" t="s">
        <v>6</v>
      </c>
      <c r="J74" t="s">
        <v>48</v>
      </c>
    </row>
    <row r="75" spans="1:10" x14ac:dyDescent="0.25">
      <c r="B75" t="s">
        <v>59</v>
      </c>
      <c r="C75">
        <v>106</v>
      </c>
      <c r="D75" t="s">
        <v>55</v>
      </c>
      <c r="E75" s="5">
        <f>-E9*$C75/20</f>
        <v>0</v>
      </c>
      <c r="F75" s="5">
        <f>-F9*$C75/20</f>
        <v>0</v>
      </c>
      <c r="G75" s="5">
        <f>-G9*$C75/20</f>
        <v>0</v>
      </c>
      <c r="H75" t="s">
        <v>60</v>
      </c>
      <c r="J75" s="35" t="s">
        <v>54</v>
      </c>
    </row>
    <row r="76" spans="1:10" ht="15.75" x14ac:dyDescent="0.25">
      <c r="B76" s="104" t="s">
        <v>16</v>
      </c>
      <c r="C76" s="105">
        <v>0.68400000000000005</v>
      </c>
      <c r="D76" s="106" t="s">
        <v>51</v>
      </c>
      <c r="E76" s="107">
        <f>E74*$C76+E75</f>
        <v>58702.268520000005</v>
      </c>
      <c r="F76" s="107">
        <f>F74*$C76+F75</f>
        <v>66000.042360000007</v>
      </c>
      <c r="G76" s="107">
        <f>G74*$C76+G75</f>
        <v>58702.268520000005</v>
      </c>
      <c r="H76" s="108" t="s">
        <v>60</v>
      </c>
      <c r="J76" s="19" t="s">
        <v>17</v>
      </c>
    </row>
    <row r="77" spans="1:10" s="6" customFormat="1" ht="15.75" x14ac:dyDescent="0.25">
      <c r="B77" s="104" t="s">
        <v>18</v>
      </c>
      <c r="C77" s="109">
        <f>10000/6000</f>
        <v>1.6666666666666667</v>
      </c>
      <c r="D77" s="106" t="s">
        <v>50</v>
      </c>
      <c r="E77" s="110">
        <f>E76*$C77</f>
        <v>97837.114200000011</v>
      </c>
      <c r="F77" s="110">
        <f>F76*$C77</f>
        <v>110000.07060000002</v>
      </c>
      <c r="G77" s="110">
        <f>G76*$C77</f>
        <v>97837.114200000011</v>
      </c>
      <c r="H77" s="108" t="s">
        <v>61</v>
      </c>
      <c r="I77" s="18"/>
      <c r="J77" s="20" t="s">
        <v>19</v>
      </c>
    </row>
    <row r="78" spans="1:10" s="6" customFormat="1" ht="15.75" x14ac:dyDescent="0.25">
      <c r="B78" s="104"/>
      <c r="C78" s="109">
        <v>7140</v>
      </c>
      <c r="D78" s="106" t="s">
        <v>88</v>
      </c>
      <c r="E78" s="111">
        <f>E77/$C78</f>
        <v>13.70267705882353</v>
      </c>
      <c r="F78" s="111">
        <f t="shared" ref="F78:G78" si="15">F77/$C78</f>
        <v>15.40617235294118</v>
      </c>
      <c r="G78" s="111">
        <f t="shared" si="15"/>
        <v>13.70267705882353</v>
      </c>
      <c r="H78" s="108" t="s">
        <v>89</v>
      </c>
      <c r="I78" s="18"/>
      <c r="J78" s="20"/>
    </row>
    <row r="79" spans="1:10" ht="16.5" thickBot="1" x14ac:dyDescent="0.3">
      <c r="B79" s="104" t="s">
        <v>66</v>
      </c>
      <c r="C79" s="112">
        <v>10500</v>
      </c>
      <c r="D79" s="106" t="s">
        <v>52</v>
      </c>
      <c r="E79" s="111">
        <f>E76/$C79</f>
        <v>5.5906922400000001</v>
      </c>
      <c r="F79" s="111">
        <f>F76/$C79</f>
        <v>6.2857183200000009</v>
      </c>
      <c r="G79" s="111">
        <f>G76/$C79</f>
        <v>5.5906922400000001</v>
      </c>
      <c r="H79" s="113" t="s">
        <v>62</v>
      </c>
      <c r="J79" s="35" t="s">
        <v>49</v>
      </c>
    </row>
    <row r="80" spans="1:10" ht="16.5" thickBot="1" x14ac:dyDescent="0.3">
      <c r="B80" s="104" t="s">
        <v>65</v>
      </c>
      <c r="C80" s="130">
        <v>20</v>
      </c>
      <c r="D80" s="106" t="s">
        <v>53</v>
      </c>
      <c r="E80" s="110">
        <f>E74/$C80*100</f>
        <v>429110.14999999997</v>
      </c>
      <c r="F80" s="110">
        <f>F74/$C80*100</f>
        <v>482456.44999999995</v>
      </c>
      <c r="G80" s="110">
        <f>G74/$C80*100</f>
        <v>429110.14999999997</v>
      </c>
      <c r="H80" s="108" t="s">
        <v>63</v>
      </c>
    </row>
  </sheetData>
  <hyperlinks>
    <hyperlink ref="J75" r:id="rId1" display="https://www.ffe.de/veroeffentlichungen/umweltbilanz-von-elektrofahrzeugen-potenziale-der-kreislaufwirtschaft/" xr:uid="{009159C3-64DF-41C4-A5E5-7335E0B4237C}"/>
    <hyperlink ref="J79" r:id="rId2" display="https://www.umweltbundesamt.de/bild/durchschnittlicher-co2-fussabdruck-pro-kopf-in" xr:uid="{E6EAC674-09A8-425F-A194-82AA6C52DD9C}"/>
    <hyperlink ref="J77" r:id="rId3" location=":~:text=Faustformel%3A%20Ein%20Hektar%20Wald%20%E2%80%9Cspeichert,Tonne%20CO2%20%E2%80%9Cgespeichert%E2%80%9D." xr:uid="{F6816477-FA0C-439C-B512-72AA2BEE4788}"/>
    <hyperlink ref="J76" r:id="rId4" location="%C3%96kobilanz" xr:uid="{8EA55BFE-2A40-45D8-9B13-DCE9B4E5D929}"/>
    <hyperlink ref="J53" r:id="rId5" display="https://assets.ctfassets.net/xytfb1vrn7of/fEyKny9vSL0zsgtzvGjiv/6f6fe41313fa7b200ed51694c32dc96c/messpreise-fuer-einspeiser-nach-dem-kraft-waerme-kopplungsgesetz-2022.pdf" xr:uid="{86D4B539-AB59-427F-85C2-86432450173D}"/>
    <hyperlink ref="J41" r:id="rId6" xr:uid="{0E4470FA-CA70-45E8-AA6C-6F069C6B156B}"/>
  </hyperlinks>
  <pageMargins left="0.7" right="0.7" top="0.75" bottom="0.75" header="0.3" footer="0.3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F1D0-D7AF-4121-912F-AE814FB61A7F}">
  <dimension ref="B3:F24"/>
  <sheetViews>
    <sheetView workbookViewId="0">
      <selection activeCell="B3" sqref="B3:F21"/>
    </sheetView>
  </sheetViews>
  <sheetFormatPr defaultRowHeight="15" x14ac:dyDescent="0.25"/>
  <cols>
    <col min="3" max="3" width="17.7109375" customWidth="1"/>
    <col min="4" max="6" width="17.7109375" style="145" customWidth="1"/>
  </cols>
  <sheetData>
    <row r="3" spans="2:6" x14ac:dyDescent="0.25">
      <c r="B3" s="176" t="s">
        <v>129</v>
      </c>
      <c r="C3" s="177"/>
      <c r="D3" s="180" t="s">
        <v>130</v>
      </c>
      <c r="E3" s="181"/>
      <c r="F3" s="181"/>
    </row>
    <row r="4" spans="2:6" x14ac:dyDescent="0.25">
      <c r="B4" s="176"/>
      <c r="C4" s="177"/>
      <c r="D4" s="142" t="s">
        <v>131</v>
      </c>
      <c r="E4" s="142" t="s">
        <v>132</v>
      </c>
      <c r="F4" s="142" t="s">
        <v>133</v>
      </c>
    </row>
    <row r="5" spans="2:6" x14ac:dyDescent="0.25">
      <c r="B5" s="176"/>
      <c r="C5" s="177"/>
      <c r="D5" s="33" t="s">
        <v>139</v>
      </c>
      <c r="E5" s="33" t="s">
        <v>137</v>
      </c>
      <c r="F5" s="33" t="s">
        <v>138</v>
      </c>
    </row>
    <row r="6" spans="2:6" x14ac:dyDescent="0.25">
      <c r="B6" s="176"/>
      <c r="C6" s="177"/>
      <c r="D6" s="153" t="s">
        <v>134</v>
      </c>
      <c r="E6" s="153" t="s">
        <v>140</v>
      </c>
      <c r="F6" s="153" t="s">
        <v>135</v>
      </c>
    </row>
    <row r="7" spans="2:6" x14ac:dyDescent="0.25">
      <c r="B7" s="178"/>
      <c r="C7" s="179"/>
      <c r="D7" s="143" t="s">
        <v>155</v>
      </c>
      <c r="E7" s="143" t="s">
        <v>153</v>
      </c>
      <c r="F7" s="143" t="s">
        <v>154</v>
      </c>
    </row>
    <row r="8" spans="2:6" x14ac:dyDescent="0.25">
      <c r="B8" s="182" t="s">
        <v>136</v>
      </c>
      <c r="C8" s="144">
        <v>0.1</v>
      </c>
      <c r="D8" s="146">
        <v>0.753</v>
      </c>
      <c r="E8" s="146">
        <v>0.999</v>
      </c>
      <c r="F8" s="146">
        <v>1</v>
      </c>
    </row>
    <row r="9" spans="2:6" x14ac:dyDescent="0.25">
      <c r="B9" s="182"/>
      <c r="C9" s="144">
        <v>0.2</v>
      </c>
      <c r="D9" s="146">
        <v>0.58599999999999997</v>
      </c>
      <c r="E9" s="146">
        <v>0.94399999999999995</v>
      </c>
      <c r="F9" s="146">
        <v>0.95499999999999996</v>
      </c>
    </row>
    <row r="10" spans="2:6" x14ac:dyDescent="0.25">
      <c r="B10" s="182"/>
      <c r="C10" s="144">
        <v>0.3</v>
      </c>
      <c r="D10" s="146">
        <v>0.49199999999999999</v>
      </c>
      <c r="E10" s="146">
        <v>0.84</v>
      </c>
      <c r="F10" s="146">
        <v>0.83599999999999997</v>
      </c>
    </row>
    <row r="11" spans="2:6" x14ac:dyDescent="0.25">
      <c r="B11" s="182"/>
      <c r="C11" s="144">
        <v>0.4</v>
      </c>
      <c r="D11" s="146">
        <v>0.43</v>
      </c>
      <c r="E11" s="146">
        <v>0.73899999999999999</v>
      </c>
      <c r="F11" s="146">
        <v>0.72799999999999998</v>
      </c>
    </row>
    <row r="12" spans="2:6" x14ac:dyDescent="0.25">
      <c r="B12" s="182"/>
      <c r="C12" s="144">
        <v>0.5</v>
      </c>
      <c r="D12" s="146">
        <v>0.38500000000000001</v>
      </c>
      <c r="E12" s="146">
        <v>0.65500000000000003</v>
      </c>
      <c r="F12" s="146">
        <v>0.64</v>
      </c>
    </row>
    <row r="13" spans="2:6" x14ac:dyDescent="0.25">
      <c r="B13" s="182"/>
      <c r="C13" s="144">
        <v>0.75</v>
      </c>
      <c r="D13" s="146">
        <v>0.31</v>
      </c>
      <c r="E13" s="146">
        <v>0.504</v>
      </c>
      <c r="F13" s="146">
        <v>0.48599999999999999</v>
      </c>
    </row>
    <row r="14" spans="2:6" x14ac:dyDescent="0.25">
      <c r="B14" s="182"/>
      <c r="C14" s="144">
        <v>1</v>
      </c>
      <c r="D14" s="146">
        <v>0.24399999999999999</v>
      </c>
      <c r="E14" s="146">
        <v>0.40799999999999997</v>
      </c>
      <c r="F14" s="146">
        <v>0.38900000000000001</v>
      </c>
    </row>
    <row r="15" spans="2:6" x14ac:dyDescent="0.25">
      <c r="B15" s="182"/>
      <c r="C15" s="144">
        <v>1.25</v>
      </c>
      <c r="D15" s="146">
        <v>0.23200000000000001</v>
      </c>
      <c r="E15" s="146">
        <v>0.34300000000000003</v>
      </c>
      <c r="F15" s="146">
        <v>0.32500000000000001</v>
      </c>
    </row>
    <row r="16" spans="2:6" x14ac:dyDescent="0.25">
      <c r="B16" s="182"/>
      <c r="C16" s="144">
        <v>1.5</v>
      </c>
      <c r="D16" s="146">
        <v>0.20799999999999999</v>
      </c>
      <c r="E16" s="146">
        <v>0.29599999999999999</v>
      </c>
      <c r="F16" s="146">
        <v>0.27900000000000003</v>
      </c>
    </row>
    <row r="17" spans="2:6" x14ac:dyDescent="0.25">
      <c r="B17" s="182"/>
      <c r="C17" s="144">
        <v>2</v>
      </c>
      <c r="D17" s="146">
        <v>0.17199999999999999</v>
      </c>
      <c r="E17" s="146">
        <v>0.23200000000000001</v>
      </c>
      <c r="F17" s="146">
        <v>0.218</v>
      </c>
    </row>
    <row r="18" spans="2:6" x14ac:dyDescent="0.25">
      <c r="B18" s="182"/>
      <c r="C18" s="144">
        <v>2.5</v>
      </c>
      <c r="D18" s="146">
        <v>0.14799999999999999</v>
      </c>
      <c r="E18" s="146">
        <v>0.191</v>
      </c>
      <c r="F18" s="146">
        <v>0.17899999999999999</v>
      </c>
    </row>
    <row r="19" spans="2:6" x14ac:dyDescent="0.25">
      <c r="B19" s="182"/>
      <c r="C19" s="144">
        <v>3</v>
      </c>
      <c r="D19" s="146">
        <v>0.129</v>
      </c>
      <c r="E19" s="146">
        <v>0.16200000000000001</v>
      </c>
      <c r="F19" s="146">
        <v>0.152</v>
      </c>
    </row>
    <row r="20" spans="2:6" x14ac:dyDescent="0.25">
      <c r="B20" s="182"/>
      <c r="C20" s="144">
        <v>4</v>
      </c>
      <c r="D20" s="146">
        <v>0.104</v>
      </c>
      <c r="E20" s="146">
        <v>0.125</v>
      </c>
      <c r="F20" s="146">
        <v>0.11600000000000001</v>
      </c>
    </row>
    <row r="21" spans="2:6" x14ac:dyDescent="0.25">
      <c r="B21" s="182"/>
      <c r="C21" s="144">
        <v>5</v>
      </c>
      <c r="D21" s="146">
        <v>8.6999999999999994E-2</v>
      </c>
      <c r="E21" s="146">
        <v>0.10100000000000001</v>
      </c>
      <c r="F21" s="146">
        <v>9.4E-2</v>
      </c>
    </row>
    <row r="23" spans="2:6" x14ac:dyDescent="0.25">
      <c r="B23" t="s">
        <v>148</v>
      </c>
    </row>
    <row r="24" spans="2:6" x14ac:dyDescent="0.25">
      <c r="B24" t="s">
        <v>149</v>
      </c>
    </row>
  </sheetData>
  <mergeCells count="3">
    <mergeCell ref="B3:C7"/>
    <mergeCell ref="D3:F3"/>
    <mergeCell ref="B8:B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86E0-4470-43B3-9DF6-1246C750AB14}">
  <dimension ref="A2:B19"/>
  <sheetViews>
    <sheetView workbookViewId="0">
      <selection activeCell="B19" sqref="B19"/>
    </sheetView>
  </sheetViews>
  <sheetFormatPr defaultRowHeight="15" x14ac:dyDescent="0.25"/>
  <cols>
    <col min="1" max="1" width="34.7109375" customWidth="1"/>
  </cols>
  <sheetData>
    <row r="2" spans="1:2" x14ac:dyDescent="0.25">
      <c r="A2" t="s">
        <v>156</v>
      </c>
      <c r="B2" t="s">
        <v>158</v>
      </c>
    </row>
    <row r="3" spans="1:2" x14ac:dyDescent="0.25">
      <c r="B3" t="s">
        <v>159</v>
      </c>
    </row>
    <row r="4" spans="1:2" x14ac:dyDescent="0.25">
      <c r="B4" t="s">
        <v>160</v>
      </c>
    </row>
    <row r="5" spans="1:2" x14ac:dyDescent="0.25">
      <c r="B5" s="35" t="s">
        <v>161</v>
      </c>
    </row>
    <row r="6" spans="1:2" x14ac:dyDescent="0.25">
      <c r="B6" s="154" t="s">
        <v>162</v>
      </c>
    </row>
    <row r="7" spans="1:2" x14ac:dyDescent="0.25">
      <c r="B7" s="154" t="s">
        <v>163</v>
      </c>
    </row>
    <row r="8" spans="1:2" x14ac:dyDescent="0.25">
      <c r="B8" s="154" t="s">
        <v>164</v>
      </c>
    </row>
    <row r="9" spans="1:2" x14ac:dyDescent="0.25">
      <c r="B9" s="154" t="s">
        <v>165</v>
      </c>
    </row>
    <row r="10" spans="1:2" x14ac:dyDescent="0.25">
      <c r="B10" s="154" t="s">
        <v>166</v>
      </c>
    </row>
    <row r="11" spans="1:2" x14ac:dyDescent="0.25">
      <c r="B11" s="154" t="s">
        <v>167</v>
      </c>
    </row>
    <row r="13" spans="1:2" ht="15.75" x14ac:dyDescent="0.25">
      <c r="A13" s="24" t="s">
        <v>27</v>
      </c>
      <c r="B13" s="24" t="s">
        <v>203</v>
      </c>
    </row>
    <row r="15" spans="1:2" x14ac:dyDescent="0.25">
      <c r="A15" t="s">
        <v>28</v>
      </c>
      <c r="B15" t="s">
        <v>29</v>
      </c>
    </row>
    <row r="17" spans="1:2" x14ac:dyDescent="0.25">
      <c r="A17" t="s">
        <v>30</v>
      </c>
      <c r="B17" t="s">
        <v>31</v>
      </c>
    </row>
    <row r="19" spans="1:2" x14ac:dyDescent="0.25">
      <c r="A19" t="s">
        <v>32</v>
      </c>
      <c r="B19" t="s">
        <v>33</v>
      </c>
    </row>
  </sheetData>
  <hyperlinks>
    <hyperlink ref="B5" r:id="rId1" display="https://re.jrc.ec.europa.eu/pvg_tools/en/" xr:uid="{7791BCF6-5E96-40F3-A099-B89B6209B1A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EF03-68FC-4626-A926-37BF410492D2}">
  <dimension ref="A1:G119"/>
  <sheetViews>
    <sheetView workbookViewId="0">
      <selection activeCell="C10" sqref="C10"/>
    </sheetView>
  </sheetViews>
  <sheetFormatPr defaultRowHeight="15" x14ac:dyDescent="0.25"/>
  <cols>
    <col min="1" max="1" width="18.42578125" style="1" customWidth="1"/>
    <col min="2" max="4" width="12.7109375" customWidth="1"/>
    <col min="5" max="5" width="3.28515625" customWidth="1"/>
    <col min="6" max="7" width="15.7109375" style="3" customWidth="1"/>
  </cols>
  <sheetData>
    <row r="1" spans="1:7" x14ac:dyDescent="0.25">
      <c r="A1" s="1" t="s">
        <v>70</v>
      </c>
    </row>
    <row r="3" spans="1:7" x14ac:dyDescent="0.25">
      <c r="A3" s="67" t="s">
        <v>71</v>
      </c>
      <c r="B3" s="14"/>
      <c r="C3" s="33" t="s">
        <v>44</v>
      </c>
      <c r="D3" s="14"/>
    </row>
    <row r="4" spans="1:7" x14ac:dyDescent="0.25">
      <c r="A4" s="68" t="s">
        <v>72</v>
      </c>
      <c r="B4" s="34" t="s">
        <v>40</v>
      </c>
      <c r="C4" s="34" t="s">
        <v>41</v>
      </c>
      <c r="D4" s="34" t="s">
        <v>42</v>
      </c>
    </row>
    <row r="5" spans="1:7" x14ac:dyDescent="0.25">
      <c r="A5" s="29" t="s">
        <v>14</v>
      </c>
      <c r="B5" s="25">
        <f>0.082</f>
        <v>8.2000000000000003E-2</v>
      </c>
      <c r="C5" s="25">
        <f>0.071</f>
        <v>7.0999999999999994E-2</v>
      </c>
      <c r="D5" s="25">
        <f>0.058</f>
        <v>5.8000000000000003E-2</v>
      </c>
      <c r="E5" s="2" t="s">
        <v>3</v>
      </c>
      <c r="G5" s="38" t="s">
        <v>46</v>
      </c>
    </row>
    <row r="6" spans="1:7" x14ac:dyDescent="0.25">
      <c r="A6" s="29" t="s">
        <v>8</v>
      </c>
      <c r="B6" s="25">
        <f>0.13</f>
        <v>0.13</v>
      </c>
      <c r="C6" s="25">
        <f>0.109</f>
        <v>0.109</v>
      </c>
      <c r="D6" s="25">
        <f>0.109</f>
        <v>0.109</v>
      </c>
      <c r="E6" s="2" t="s">
        <v>3</v>
      </c>
      <c r="G6" s="38" t="s">
        <v>46</v>
      </c>
    </row>
    <row r="8" spans="1:7" x14ac:dyDescent="0.25">
      <c r="A8" s="1" t="s">
        <v>68</v>
      </c>
      <c r="C8" s="64">
        <f>'Wirtschaftlichkeit &amp; Klima'!C7</f>
        <v>45383</v>
      </c>
      <c r="G8" s="45"/>
    </row>
    <row r="9" spans="1:7" x14ac:dyDescent="0.25">
      <c r="A9" s="1" t="s">
        <v>76</v>
      </c>
      <c r="B9" s="69">
        <v>45292</v>
      </c>
      <c r="C9" s="66">
        <f>IF(C8&lt;B9,0,CEILING(DATEDIF(B9,C8,"m")/6,1))</f>
        <v>1</v>
      </c>
      <c r="F9" s="45"/>
      <c r="G9" s="65"/>
    </row>
    <row r="10" spans="1:7" x14ac:dyDescent="0.25">
      <c r="A10" s="28"/>
    </row>
    <row r="11" spans="1:7" x14ac:dyDescent="0.25">
      <c r="A11" s="67" t="s">
        <v>73</v>
      </c>
      <c r="B11" s="14"/>
      <c r="C11" s="33" t="s">
        <v>44</v>
      </c>
      <c r="D11" s="14"/>
    </row>
    <row r="12" spans="1:7" x14ac:dyDescent="0.25">
      <c r="A12" s="68">
        <f>C8</f>
        <v>45383</v>
      </c>
      <c r="B12" s="34" t="s">
        <v>40</v>
      </c>
      <c r="C12" s="34" t="s">
        <v>41</v>
      </c>
      <c r="D12" s="34" t="s">
        <v>42</v>
      </c>
    </row>
    <row r="13" spans="1:7" x14ac:dyDescent="0.25">
      <c r="A13" s="29" t="s">
        <v>14</v>
      </c>
      <c r="B13" s="25">
        <f>B5*(1-$C$9/100)</f>
        <v>8.1180000000000002E-2</v>
      </c>
      <c r="C13" s="25">
        <f t="shared" ref="C13:D13" si="0">C5*(1-$C$9/100)</f>
        <v>7.0289999999999991E-2</v>
      </c>
      <c r="D13" s="25">
        <f t="shared" si="0"/>
        <v>5.7420000000000006E-2</v>
      </c>
      <c r="E13" s="2" t="s">
        <v>3</v>
      </c>
      <c r="G13" s="38"/>
    </row>
    <row r="14" spans="1:7" x14ac:dyDescent="0.25">
      <c r="A14" s="29" t="s">
        <v>8</v>
      </c>
      <c r="B14" s="25">
        <f>B6*(1-$C$9/100)</f>
        <v>0.12870000000000001</v>
      </c>
      <c r="C14" s="25">
        <f t="shared" ref="C14:D14" si="1">C6*(1-$C$9/100)</f>
        <v>0.10790999999999999</v>
      </c>
      <c r="D14" s="25">
        <f t="shared" si="1"/>
        <v>0.10790999999999999</v>
      </c>
      <c r="E14" s="2" t="s">
        <v>3</v>
      </c>
      <c r="G14" s="38"/>
    </row>
    <row r="16" spans="1:7" s="12" customFormat="1" x14ac:dyDescent="0.25">
      <c r="A16" s="30" t="s">
        <v>23</v>
      </c>
      <c r="B16" s="26"/>
      <c r="C16" s="33" t="s">
        <v>44</v>
      </c>
      <c r="D16" s="26"/>
      <c r="E16" s="26"/>
      <c r="F16" s="36" t="s">
        <v>43</v>
      </c>
      <c r="G16" s="36" t="s">
        <v>43</v>
      </c>
    </row>
    <row r="17" spans="1:7" s="12" customFormat="1" x14ac:dyDescent="0.25">
      <c r="A17" s="30"/>
      <c r="B17" s="26" t="str">
        <f>B12</f>
        <v>0 - 10 kWp</v>
      </c>
      <c r="C17" s="26" t="str">
        <f t="shared" ref="C17:D17" si="2">C12</f>
        <v>10 - 40 kWp</v>
      </c>
      <c r="D17" s="26" t="str">
        <f t="shared" si="2"/>
        <v>40 - 100 kWp</v>
      </c>
      <c r="E17" s="26"/>
      <c r="F17" s="36" t="s">
        <v>14</v>
      </c>
      <c r="G17" s="36" t="s">
        <v>8</v>
      </c>
    </row>
    <row r="18" spans="1:7" s="12" customFormat="1" x14ac:dyDescent="0.25">
      <c r="A18" s="31" t="s">
        <v>0</v>
      </c>
      <c r="B18" s="27" t="s">
        <v>0</v>
      </c>
      <c r="C18" s="27" t="s">
        <v>0</v>
      </c>
      <c r="D18" s="27" t="s">
        <v>0</v>
      </c>
      <c r="E18" s="27"/>
      <c r="F18" s="37" t="s">
        <v>45</v>
      </c>
      <c r="G18" s="37" t="s">
        <v>45</v>
      </c>
    </row>
    <row r="19" spans="1:7" x14ac:dyDescent="0.25">
      <c r="A19" s="32">
        <v>1</v>
      </c>
      <c r="B19">
        <f>IF($A19&lt;10,$A19,10)</f>
        <v>1</v>
      </c>
      <c r="C19">
        <f>IF($A19&lt;10,0,IF($A19&gt;40,30,$A19-10))</f>
        <v>0</v>
      </c>
      <c r="D19">
        <f>IF(A19&lt;40,0,A19-40)</f>
        <v>0</v>
      </c>
      <c r="F19" s="3">
        <f>(B19*B$13+C19*C$13+D19*D$13)/$A19</f>
        <v>8.1180000000000002E-2</v>
      </c>
      <c r="G19" s="3">
        <f>(B19*B$14+C19*C$14+D19*D$14)/$A19</f>
        <v>0.12870000000000001</v>
      </c>
    </row>
    <row r="20" spans="1:7" x14ac:dyDescent="0.25">
      <c r="A20" s="32">
        <v>2</v>
      </c>
      <c r="B20">
        <f t="shared" ref="B20:B83" si="3">IF($A20&lt;10,$A20,10)</f>
        <v>2</v>
      </c>
      <c r="C20">
        <f t="shared" ref="C20:C83" si="4">IF($A20&lt;10,0,IF($A20&gt;40,30,$A20-10))</f>
        <v>0</v>
      </c>
      <c r="D20">
        <f t="shared" ref="D20:D83" si="5">IF(A20&lt;40,0,A20-40)</f>
        <v>0</v>
      </c>
      <c r="F20" s="3">
        <f t="shared" ref="F20:F83" si="6">(B20*B$13+C20*C$13+D20*D$13)/$A20</f>
        <v>8.1180000000000002E-2</v>
      </c>
      <c r="G20" s="3">
        <f t="shared" ref="G20:G83" si="7">(B20*B$14+C20*C$14+D20*D$14)/$A20</f>
        <v>0.12870000000000001</v>
      </c>
    </row>
    <row r="21" spans="1:7" x14ac:dyDescent="0.25">
      <c r="A21" s="32">
        <v>3</v>
      </c>
      <c r="B21">
        <f t="shared" si="3"/>
        <v>3</v>
      </c>
      <c r="C21">
        <f t="shared" si="4"/>
        <v>0</v>
      </c>
      <c r="D21">
        <f t="shared" si="5"/>
        <v>0</v>
      </c>
      <c r="F21" s="3">
        <f t="shared" si="6"/>
        <v>8.1180000000000002E-2</v>
      </c>
      <c r="G21" s="3">
        <f t="shared" si="7"/>
        <v>0.12870000000000001</v>
      </c>
    </row>
    <row r="22" spans="1:7" x14ac:dyDescent="0.25">
      <c r="A22" s="32">
        <v>4</v>
      </c>
      <c r="B22">
        <f t="shared" si="3"/>
        <v>4</v>
      </c>
      <c r="C22">
        <f t="shared" si="4"/>
        <v>0</v>
      </c>
      <c r="D22">
        <f t="shared" si="5"/>
        <v>0</v>
      </c>
      <c r="F22" s="3">
        <f t="shared" si="6"/>
        <v>8.1180000000000002E-2</v>
      </c>
      <c r="G22" s="3">
        <f t="shared" si="7"/>
        <v>0.12870000000000001</v>
      </c>
    </row>
    <row r="23" spans="1:7" x14ac:dyDescent="0.25">
      <c r="A23" s="32">
        <v>5</v>
      </c>
      <c r="B23">
        <f t="shared" si="3"/>
        <v>5</v>
      </c>
      <c r="C23">
        <f t="shared" si="4"/>
        <v>0</v>
      </c>
      <c r="D23">
        <f t="shared" si="5"/>
        <v>0</v>
      </c>
      <c r="F23" s="3">
        <f t="shared" si="6"/>
        <v>8.1180000000000002E-2</v>
      </c>
      <c r="G23" s="3">
        <f t="shared" si="7"/>
        <v>0.12870000000000001</v>
      </c>
    </row>
    <row r="24" spans="1:7" x14ac:dyDescent="0.25">
      <c r="A24" s="32">
        <v>6</v>
      </c>
      <c r="B24">
        <f t="shared" si="3"/>
        <v>6</v>
      </c>
      <c r="C24">
        <f t="shared" si="4"/>
        <v>0</v>
      </c>
      <c r="D24">
        <f t="shared" si="5"/>
        <v>0</v>
      </c>
      <c r="F24" s="3">
        <f t="shared" si="6"/>
        <v>8.1180000000000002E-2</v>
      </c>
      <c r="G24" s="3">
        <f t="shared" si="7"/>
        <v>0.12870000000000001</v>
      </c>
    </row>
    <row r="25" spans="1:7" x14ac:dyDescent="0.25">
      <c r="A25" s="32">
        <v>7</v>
      </c>
      <c r="B25">
        <f t="shared" si="3"/>
        <v>7</v>
      </c>
      <c r="C25">
        <f t="shared" si="4"/>
        <v>0</v>
      </c>
      <c r="D25">
        <f t="shared" si="5"/>
        <v>0</v>
      </c>
      <c r="F25" s="3">
        <f t="shared" si="6"/>
        <v>8.1180000000000002E-2</v>
      </c>
      <c r="G25" s="3">
        <f t="shared" si="7"/>
        <v>0.12870000000000001</v>
      </c>
    </row>
    <row r="26" spans="1:7" x14ac:dyDescent="0.25">
      <c r="A26" s="32">
        <v>8</v>
      </c>
      <c r="B26">
        <f t="shared" si="3"/>
        <v>8</v>
      </c>
      <c r="C26">
        <f t="shared" si="4"/>
        <v>0</v>
      </c>
      <c r="D26">
        <f t="shared" si="5"/>
        <v>0</v>
      </c>
      <c r="F26" s="3">
        <f t="shared" si="6"/>
        <v>8.1180000000000002E-2</v>
      </c>
      <c r="G26" s="3">
        <f t="shared" si="7"/>
        <v>0.12870000000000001</v>
      </c>
    </row>
    <row r="27" spans="1:7" x14ac:dyDescent="0.25">
      <c r="A27" s="32">
        <v>9</v>
      </c>
      <c r="B27">
        <f t="shared" si="3"/>
        <v>9</v>
      </c>
      <c r="C27">
        <f t="shared" si="4"/>
        <v>0</v>
      </c>
      <c r="D27">
        <f t="shared" si="5"/>
        <v>0</v>
      </c>
      <c r="F27" s="3">
        <f t="shared" si="6"/>
        <v>8.1180000000000002E-2</v>
      </c>
      <c r="G27" s="3">
        <f t="shared" si="7"/>
        <v>0.12870000000000001</v>
      </c>
    </row>
    <row r="28" spans="1:7" x14ac:dyDescent="0.25">
      <c r="A28" s="32">
        <v>10</v>
      </c>
      <c r="B28">
        <f t="shared" si="3"/>
        <v>10</v>
      </c>
      <c r="C28">
        <f t="shared" si="4"/>
        <v>0</v>
      </c>
      <c r="D28">
        <f t="shared" si="5"/>
        <v>0</v>
      </c>
      <c r="F28" s="3">
        <f t="shared" si="6"/>
        <v>8.1180000000000002E-2</v>
      </c>
      <c r="G28" s="3">
        <f t="shared" si="7"/>
        <v>0.12870000000000001</v>
      </c>
    </row>
    <row r="29" spans="1:7" x14ac:dyDescent="0.25">
      <c r="A29" s="32">
        <v>11</v>
      </c>
      <c r="B29">
        <f t="shared" si="3"/>
        <v>10</v>
      </c>
      <c r="C29">
        <f t="shared" si="4"/>
        <v>1</v>
      </c>
      <c r="D29">
        <f t="shared" si="5"/>
        <v>0</v>
      </c>
      <c r="F29" s="3">
        <f t="shared" si="6"/>
        <v>8.0189999999999997E-2</v>
      </c>
      <c r="G29" s="3">
        <f t="shared" si="7"/>
        <v>0.12681000000000001</v>
      </c>
    </row>
    <row r="30" spans="1:7" x14ac:dyDescent="0.25">
      <c r="A30" s="32">
        <v>12</v>
      </c>
      <c r="B30">
        <f t="shared" si="3"/>
        <v>10</v>
      </c>
      <c r="C30">
        <f t="shared" si="4"/>
        <v>2</v>
      </c>
      <c r="D30">
        <f t="shared" si="5"/>
        <v>0</v>
      </c>
      <c r="F30" s="3">
        <f t="shared" si="6"/>
        <v>7.9365000000000005E-2</v>
      </c>
      <c r="G30" s="3">
        <f t="shared" si="7"/>
        <v>0.12523500000000001</v>
      </c>
    </row>
    <row r="31" spans="1:7" x14ac:dyDescent="0.25">
      <c r="A31" s="32">
        <v>13</v>
      </c>
      <c r="B31">
        <f t="shared" si="3"/>
        <v>10</v>
      </c>
      <c r="C31">
        <f t="shared" si="4"/>
        <v>3</v>
      </c>
      <c r="D31">
        <f t="shared" si="5"/>
        <v>0</v>
      </c>
      <c r="F31" s="3">
        <f t="shared" si="6"/>
        <v>7.8666923076923079E-2</v>
      </c>
      <c r="G31" s="3">
        <f t="shared" si="7"/>
        <v>0.12390230769230771</v>
      </c>
    </row>
    <row r="32" spans="1:7" x14ac:dyDescent="0.25">
      <c r="A32" s="32">
        <v>14</v>
      </c>
      <c r="B32">
        <f t="shared" si="3"/>
        <v>10</v>
      </c>
      <c r="C32">
        <f t="shared" si="4"/>
        <v>4</v>
      </c>
      <c r="D32">
        <f t="shared" si="5"/>
        <v>0</v>
      </c>
      <c r="F32" s="3">
        <f t="shared" si="6"/>
        <v>7.8068571428571445E-2</v>
      </c>
      <c r="G32" s="3">
        <f t="shared" si="7"/>
        <v>0.12276000000000001</v>
      </c>
    </row>
    <row r="33" spans="1:7" x14ac:dyDescent="0.25">
      <c r="A33" s="32">
        <v>15</v>
      </c>
      <c r="B33">
        <f t="shared" si="3"/>
        <v>10</v>
      </c>
      <c r="C33">
        <f t="shared" si="4"/>
        <v>5</v>
      </c>
      <c r="D33">
        <f t="shared" si="5"/>
        <v>0</v>
      </c>
      <c r="F33" s="3">
        <f t="shared" si="6"/>
        <v>7.7550000000000008E-2</v>
      </c>
      <c r="G33" s="3">
        <f t="shared" si="7"/>
        <v>0.12177</v>
      </c>
    </row>
    <row r="34" spans="1:7" x14ac:dyDescent="0.25">
      <c r="A34" s="32">
        <v>16</v>
      </c>
      <c r="B34">
        <f t="shared" si="3"/>
        <v>10</v>
      </c>
      <c r="C34">
        <f t="shared" si="4"/>
        <v>6</v>
      </c>
      <c r="D34">
        <f t="shared" si="5"/>
        <v>0</v>
      </c>
      <c r="F34" s="3">
        <f t="shared" si="6"/>
        <v>7.7096250000000005E-2</v>
      </c>
      <c r="G34" s="3">
        <f t="shared" si="7"/>
        <v>0.12090375</v>
      </c>
    </row>
    <row r="35" spans="1:7" x14ac:dyDescent="0.25">
      <c r="A35" s="32">
        <v>17</v>
      </c>
      <c r="B35">
        <f t="shared" si="3"/>
        <v>10</v>
      </c>
      <c r="C35">
        <f t="shared" si="4"/>
        <v>7</v>
      </c>
      <c r="D35">
        <f t="shared" si="5"/>
        <v>0</v>
      </c>
      <c r="F35" s="3">
        <f t="shared" si="6"/>
        <v>7.6695882352941183E-2</v>
      </c>
      <c r="G35" s="3">
        <f t="shared" si="7"/>
        <v>0.12013941176470588</v>
      </c>
    </row>
    <row r="36" spans="1:7" x14ac:dyDescent="0.25">
      <c r="A36" s="32">
        <v>18</v>
      </c>
      <c r="B36">
        <f t="shared" si="3"/>
        <v>10</v>
      </c>
      <c r="C36">
        <f t="shared" si="4"/>
        <v>8</v>
      </c>
      <c r="D36">
        <f t="shared" si="5"/>
        <v>0</v>
      </c>
      <c r="F36" s="3">
        <f t="shared" si="6"/>
        <v>7.6340000000000005E-2</v>
      </c>
      <c r="G36" s="3">
        <f t="shared" si="7"/>
        <v>0.11946</v>
      </c>
    </row>
    <row r="37" spans="1:7" x14ac:dyDescent="0.25">
      <c r="A37" s="32">
        <v>19</v>
      </c>
      <c r="B37">
        <f t="shared" si="3"/>
        <v>10</v>
      </c>
      <c r="C37">
        <f t="shared" si="4"/>
        <v>9</v>
      </c>
      <c r="D37">
        <f t="shared" si="5"/>
        <v>0</v>
      </c>
      <c r="F37" s="3">
        <f t="shared" si="6"/>
        <v>7.6021578947368426E-2</v>
      </c>
      <c r="G37" s="3">
        <f t="shared" si="7"/>
        <v>0.11885210526315788</v>
      </c>
    </row>
    <row r="38" spans="1:7" x14ac:dyDescent="0.25">
      <c r="A38" s="32">
        <v>20</v>
      </c>
      <c r="B38">
        <f t="shared" si="3"/>
        <v>10</v>
      </c>
      <c r="C38">
        <f t="shared" si="4"/>
        <v>10</v>
      </c>
      <c r="D38">
        <f t="shared" si="5"/>
        <v>0</v>
      </c>
      <c r="F38" s="3">
        <f t="shared" si="6"/>
        <v>7.5734999999999997E-2</v>
      </c>
      <c r="G38" s="3">
        <f t="shared" si="7"/>
        <v>0.11830500000000002</v>
      </c>
    </row>
    <row r="39" spans="1:7" x14ac:dyDescent="0.25">
      <c r="A39" s="32">
        <v>21</v>
      </c>
      <c r="B39">
        <f t="shared" si="3"/>
        <v>10</v>
      </c>
      <c r="C39">
        <f t="shared" si="4"/>
        <v>11</v>
      </c>
      <c r="D39">
        <f t="shared" si="5"/>
        <v>0</v>
      </c>
      <c r="F39" s="3">
        <f t="shared" si="6"/>
        <v>7.5475714285714285E-2</v>
      </c>
      <c r="G39" s="3">
        <f t="shared" si="7"/>
        <v>0.11781</v>
      </c>
    </row>
    <row r="40" spans="1:7" x14ac:dyDescent="0.25">
      <c r="A40" s="32">
        <v>22</v>
      </c>
      <c r="B40">
        <f t="shared" si="3"/>
        <v>10</v>
      </c>
      <c r="C40">
        <f t="shared" si="4"/>
        <v>12</v>
      </c>
      <c r="D40">
        <f t="shared" si="5"/>
        <v>0</v>
      </c>
      <c r="F40" s="3">
        <f t="shared" si="6"/>
        <v>7.5239999999999987E-2</v>
      </c>
      <c r="G40" s="3">
        <f t="shared" si="7"/>
        <v>0.11736000000000001</v>
      </c>
    </row>
    <row r="41" spans="1:7" x14ac:dyDescent="0.25">
      <c r="A41" s="32">
        <v>23</v>
      </c>
      <c r="B41">
        <f t="shared" si="3"/>
        <v>10</v>
      </c>
      <c r="C41">
        <f t="shared" si="4"/>
        <v>13</v>
      </c>
      <c r="D41">
        <f t="shared" si="5"/>
        <v>0</v>
      </c>
      <c r="F41" s="3">
        <f t="shared" si="6"/>
        <v>7.5024782608695648E-2</v>
      </c>
      <c r="G41" s="3">
        <f t="shared" si="7"/>
        <v>0.1169491304347826</v>
      </c>
    </row>
    <row r="42" spans="1:7" x14ac:dyDescent="0.25">
      <c r="A42" s="32">
        <v>24</v>
      </c>
      <c r="B42">
        <f t="shared" si="3"/>
        <v>10</v>
      </c>
      <c r="C42">
        <f t="shared" si="4"/>
        <v>14</v>
      </c>
      <c r="D42">
        <f t="shared" si="5"/>
        <v>0</v>
      </c>
      <c r="F42" s="3">
        <f t="shared" si="6"/>
        <v>7.4827500000000005E-2</v>
      </c>
      <c r="G42" s="3">
        <f t="shared" si="7"/>
        <v>0.11657250000000001</v>
      </c>
    </row>
    <row r="43" spans="1:7" x14ac:dyDescent="0.25">
      <c r="A43" s="32">
        <v>25</v>
      </c>
      <c r="B43">
        <f t="shared" si="3"/>
        <v>10</v>
      </c>
      <c r="C43">
        <f t="shared" si="4"/>
        <v>15</v>
      </c>
      <c r="D43">
        <f t="shared" si="5"/>
        <v>0</v>
      </c>
      <c r="F43" s="3">
        <f t="shared" si="6"/>
        <v>7.4646000000000004E-2</v>
      </c>
      <c r="G43" s="3">
        <f t="shared" si="7"/>
        <v>0.116226</v>
      </c>
    </row>
    <row r="44" spans="1:7" x14ac:dyDescent="0.25">
      <c r="A44" s="32">
        <v>26</v>
      </c>
      <c r="B44">
        <f t="shared" si="3"/>
        <v>10</v>
      </c>
      <c r="C44">
        <f t="shared" si="4"/>
        <v>16</v>
      </c>
      <c r="D44">
        <f t="shared" si="5"/>
        <v>0</v>
      </c>
      <c r="F44" s="3">
        <f t="shared" si="6"/>
        <v>7.4478461538461535E-2</v>
      </c>
      <c r="G44" s="3">
        <f t="shared" si="7"/>
        <v>0.11590615384615385</v>
      </c>
    </row>
    <row r="45" spans="1:7" x14ac:dyDescent="0.25">
      <c r="A45" s="32">
        <v>27</v>
      </c>
      <c r="B45">
        <f t="shared" si="3"/>
        <v>10</v>
      </c>
      <c r="C45">
        <f t="shared" si="4"/>
        <v>17</v>
      </c>
      <c r="D45">
        <f t="shared" si="5"/>
        <v>0</v>
      </c>
      <c r="F45" s="3">
        <f t="shared" si="6"/>
        <v>7.4323333333333338E-2</v>
      </c>
      <c r="G45" s="3">
        <f t="shared" si="7"/>
        <v>0.11561</v>
      </c>
    </row>
    <row r="46" spans="1:7" x14ac:dyDescent="0.25">
      <c r="A46" s="32">
        <v>28</v>
      </c>
      <c r="B46">
        <f t="shared" si="3"/>
        <v>10</v>
      </c>
      <c r="C46">
        <f t="shared" si="4"/>
        <v>18</v>
      </c>
      <c r="D46">
        <f t="shared" si="5"/>
        <v>0</v>
      </c>
      <c r="F46" s="3">
        <f t="shared" si="6"/>
        <v>7.4179285714285711E-2</v>
      </c>
      <c r="G46" s="3">
        <f t="shared" si="7"/>
        <v>0.11533499999999999</v>
      </c>
    </row>
    <row r="47" spans="1:7" x14ac:dyDescent="0.25">
      <c r="A47" s="32">
        <v>29</v>
      </c>
      <c r="B47">
        <f t="shared" si="3"/>
        <v>10</v>
      </c>
      <c r="C47">
        <f t="shared" si="4"/>
        <v>19</v>
      </c>
      <c r="D47">
        <f t="shared" si="5"/>
        <v>0</v>
      </c>
      <c r="F47" s="3">
        <f t="shared" si="6"/>
        <v>7.4045172413793103E-2</v>
      </c>
      <c r="G47" s="3">
        <f t="shared" si="7"/>
        <v>0.11507896551724139</v>
      </c>
    </row>
    <row r="48" spans="1:7" x14ac:dyDescent="0.25">
      <c r="A48" s="32">
        <v>30</v>
      </c>
      <c r="B48">
        <f t="shared" si="3"/>
        <v>10</v>
      </c>
      <c r="C48">
        <f t="shared" si="4"/>
        <v>20</v>
      </c>
      <c r="D48">
        <f t="shared" si="5"/>
        <v>0</v>
      </c>
      <c r="F48" s="3">
        <f t="shared" si="6"/>
        <v>7.392E-2</v>
      </c>
      <c r="G48" s="3">
        <f t="shared" si="7"/>
        <v>0.11484</v>
      </c>
    </row>
    <row r="49" spans="1:7" x14ac:dyDescent="0.25">
      <c r="A49" s="32">
        <v>31</v>
      </c>
      <c r="B49">
        <f t="shared" si="3"/>
        <v>10</v>
      </c>
      <c r="C49">
        <f t="shared" si="4"/>
        <v>21</v>
      </c>
      <c r="D49">
        <f t="shared" si="5"/>
        <v>0</v>
      </c>
      <c r="F49" s="3">
        <f t="shared" si="6"/>
        <v>7.3802903225806446E-2</v>
      </c>
      <c r="G49" s="3">
        <f t="shared" si="7"/>
        <v>0.11461645161290324</v>
      </c>
    </row>
    <row r="50" spans="1:7" x14ac:dyDescent="0.25">
      <c r="A50" s="32">
        <v>32</v>
      </c>
      <c r="B50">
        <f t="shared" si="3"/>
        <v>10</v>
      </c>
      <c r="C50">
        <f t="shared" si="4"/>
        <v>22</v>
      </c>
      <c r="D50">
        <f t="shared" si="5"/>
        <v>0</v>
      </c>
      <c r="F50" s="3">
        <f t="shared" si="6"/>
        <v>7.3693124999999998E-2</v>
      </c>
      <c r="G50" s="3">
        <f t="shared" si="7"/>
        <v>0.11440687499999999</v>
      </c>
    </row>
    <row r="51" spans="1:7" x14ac:dyDescent="0.25">
      <c r="A51" s="32">
        <v>33</v>
      </c>
      <c r="B51">
        <f t="shared" si="3"/>
        <v>10</v>
      </c>
      <c r="C51">
        <f t="shared" si="4"/>
        <v>23</v>
      </c>
      <c r="D51">
        <f t="shared" si="5"/>
        <v>0</v>
      </c>
      <c r="F51" s="3">
        <f t="shared" si="6"/>
        <v>7.3590000000000003E-2</v>
      </c>
      <c r="G51" s="3">
        <f t="shared" si="7"/>
        <v>0.11421000000000001</v>
      </c>
    </row>
    <row r="52" spans="1:7" x14ac:dyDescent="0.25">
      <c r="A52" s="32">
        <v>34</v>
      </c>
      <c r="B52">
        <f t="shared" si="3"/>
        <v>10</v>
      </c>
      <c r="C52">
        <f t="shared" si="4"/>
        <v>24</v>
      </c>
      <c r="D52">
        <f t="shared" si="5"/>
        <v>0</v>
      </c>
      <c r="F52" s="3">
        <f t="shared" si="6"/>
        <v>7.349294117647058E-2</v>
      </c>
      <c r="G52" s="3">
        <f t="shared" si="7"/>
        <v>0.11402470588235293</v>
      </c>
    </row>
    <row r="53" spans="1:7" x14ac:dyDescent="0.25">
      <c r="A53" s="32">
        <v>35</v>
      </c>
      <c r="B53">
        <f t="shared" si="3"/>
        <v>10</v>
      </c>
      <c r="C53">
        <f t="shared" si="4"/>
        <v>25</v>
      </c>
      <c r="D53">
        <f t="shared" si="5"/>
        <v>0</v>
      </c>
      <c r="F53" s="3">
        <f t="shared" si="6"/>
        <v>7.3401428571428562E-2</v>
      </c>
      <c r="G53" s="3">
        <f t="shared" si="7"/>
        <v>0.11385000000000001</v>
      </c>
    </row>
    <row r="54" spans="1:7" x14ac:dyDescent="0.25">
      <c r="A54" s="32">
        <v>36</v>
      </c>
      <c r="B54">
        <f t="shared" si="3"/>
        <v>10</v>
      </c>
      <c r="C54">
        <f t="shared" si="4"/>
        <v>26</v>
      </c>
      <c r="D54">
        <f t="shared" si="5"/>
        <v>0</v>
      </c>
      <c r="F54" s="3">
        <f t="shared" si="6"/>
        <v>7.3314999999999991E-2</v>
      </c>
      <c r="G54" s="3">
        <f t="shared" si="7"/>
        <v>0.11368499999999998</v>
      </c>
    </row>
    <row r="55" spans="1:7" x14ac:dyDescent="0.25">
      <c r="A55" s="32">
        <v>37</v>
      </c>
      <c r="B55">
        <f t="shared" si="3"/>
        <v>10</v>
      </c>
      <c r="C55">
        <f t="shared" si="4"/>
        <v>27</v>
      </c>
      <c r="D55">
        <f t="shared" si="5"/>
        <v>0</v>
      </c>
      <c r="F55" s="3">
        <f t="shared" si="6"/>
        <v>7.3233243243243235E-2</v>
      </c>
      <c r="G55" s="3">
        <f t="shared" si="7"/>
        <v>0.11352891891891892</v>
      </c>
    </row>
    <row r="56" spans="1:7" x14ac:dyDescent="0.25">
      <c r="A56" s="32">
        <v>38</v>
      </c>
      <c r="B56">
        <f t="shared" si="3"/>
        <v>10</v>
      </c>
      <c r="C56">
        <f t="shared" si="4"/>
        <v>28</v>
      </c>
      <c r="D56">
        <f t="shared" si="5"/>
        <v>0</v>
      </c>
      <c r="F56" s="3">
        <f t="shared" si="6"/>
        <v>7.3155789473684202E-2</v>
      </c>
      <c r="G56" s="3">
        <f t="shared" si="7"/>
        <v>0.11338105263157895</v>
      </c>
    </row>
    <row r="57" spans="1:7" x14ac:dyDescent="0.25">
      <c r="A57" s="32">
        <v>39</v>
      </c>
      <c r="B57">
        <f t="shared" si="3"/>
        <v>10</v>
      </c>
      <c r="C57">
        <f t="shared" si="4"/>
        <v>29</v>
      </c>
      <c r="D57">
        <f t="shared" si="5"/>
        <v>0</v>
      </c>
      <c r="F57" s="3">
        <f t="shared" si="6"/>
        <v>7.3082307692307683E-2</v>
      </c>
      <c r="G57" s="3">
        <f t="shared" si="7"/>
        <v>0.11324076923076923</v>
      </c>
    </row>
    <row r="58" spans="1:7" x14ac:dyDescent="0.25">
      <c r="A58" s="32">
        <v>40</v>
      </c>
      <c r="B58">
        <f t="shared" si="3"/>
        <v>10</v>
      </c>
      <c r="C58">
        <f t="shared" si="4"/>
        <v>30</v>
      </c>
      <c r="D58">
        <f t="shared" si="5"/>
        <v>0</v>
      </c>
      <c r="F58" s="3">
        <f t="shared" si="6"/>
        <v>7.3012499999999994E-2</v>
      </c>
      <c r="G58" s="3">
        <f t="shared" si="7"/>
        <v>0.1131075</v>
      </c>
    </row>
    <row r="59" spans="1:7" x14ac:dyDescent="0.25">
      <c r="A59" s="32">
        <v>41</v>
      </c>
      <c r="B59">
        <f t="shared" si="3"/>
        <v>10</v>
      </c>
      <c r="C59">
        <f t="shared" si="4"/>
        <v>30</v>
      </c>
      <c r="D59">
        <f t="shared" si="5"/>
        <v>1</v>
      </c>
      <c r="F59" s="3">
        <f t="shared" si="6"/>
        <v>7.263219512195121E-2</v>
      </c>
      <c r="G59" s="3">
        <f t="shared" si="7"/>
        <v>0.11298073170731709</v>
      </c>
    </row>
    <row r="60" spans="1:7" x14ac:dyDescent="0.25">
      <c r="A60" s="32">
        <v>42</v>
      </c>
      <c r="B60">
        <f t="shared" si="3"/>
        <v>10</v>
      </c>
      <c r="C60">
        <f t="shared" si="4"/>
        <v>30</v>
      </c>
      <c r="D60">
        <f t="shared" si="5"/>
        <v>2</v>
      </c>
      <c r="F60" s="3">
        <f t="shared" si="6"/>
        <v>7.2269999999999987E-2</v>
      </c>
      <c r="G60" s="3">
        <f t="shared" si="7"/>
        <v>0.11286</v>
      </c>
    </row>
    <row r="61" spans="1:7" x14ac:dyDescent="0.25">
      <c r="A61" s="32">
        <v>43</v>
      </c>
      <c r="B61">
        <f t="shared" si="3"/>
        <v>10</v>
      </c>
      <c r="C61">
        <f t="shared" si="4"/>
        <v>30</v>
      </c>
      <c r="D61">
        <f t="shared" si="5"/>
        <v>3</v>
      </c>
      <c r="F61" s="3">
        <f t="shared" si="6"/>
        <v>7.192465116279069E-2</v>
      </c>
      <c r="G61" s="3">
        <f t="shared" si="7"/>
        <v>0.11274488372093025</v>
      </c>
    </row>
    <row r="62" spans="1:7" x14ac:dyDescent="0.25">
      <c r="A62" s="32">
        <v>44</v>
      </c>
      <c r="B62">
        <f t="shared" si="3"/>
        <v>10</v>
      </c>
      <c r="C62">
        <f t="shared" si="4"/>
        <v>30</v>
      </c>
      <c r="D62">
        <f t="shared" si="5"/>
        <v>4</v>
      </c>
      <c r="F62" s="3">
        <f t="shared" si="6"/>
        <v>7.1594999999999992E-2</v>
      </c>
      <c r="G62" s="3">
        <f t="shared" si="7"/>
        <v>0.112635</v>
      </c>
    </row>
    <row r="63" spans="1:7" x14ac:dyDescent="0.25">
      <c r="A63" s="32">
        <v>45</v>
      </c>
      <c r="B63">
        <f t="shared" si="3"/>
        <v>10</v>
      </c>
      <c r="C63">
        <f t="shared" si="4"/>
        <v>30</v>
      </c>
      <c r="D63">
        <f t="shared" si="5"/>
        <v>5</v>
      </c>
      <c r="F63" s="3">
        <f t="shared" si="6"/>
        <v>7.1279999999999996E-2</v>
      </c>
      <c r="G63" s="3">
        <f t="shared" si="7"/>
        <v>0.11253000000000001</v>
      </c>
    </row>
    <row r="64" spans="1:7" x14ac:dyDescent="0.25">
      <c r="A64" s="32">
        <v>46</v>
      </c>
      <c r="B64">
        <f t="shared" si="3"/>
        <v>10</v>
      </c>
      <c r="C64">
        <f t="shared" si="4"/>
        <v>30</v>
      </c>
      <c r="D64">
        <f t="shared" si="5"/>
        <v>6</v>
      </c>
      <c r="F64" s="3">
        <f t="shared" si="6"/>
        <v>7.0978695652173907E-2</v>
      </c>
      <c r="G64" s="3">
        <f t="shared" si="7"/>
        <v>0.11242956521739131</v>
      </c>
    </row>
    <row r="65" spans="1:7" x14ac:dyDescent="0.25">
      <c r="A65" s="32">
        <v>47</v>
      </c>
      <c r="B65">
        <f t="shared" si="3"/>
        <v>10</v>
      </c>
      <c r="C65">
        <f t="shared" si="4"/>
        <v>30</v>
      </c>
      <c r="D65">
        <f t="shared" si="5"/>
        <v>7</v>
      </c>
      <c r="F65" s="3">
        <f t="shared" si="6"/>
        <v>7.0690212765957439E-2</v>
      </c>
      <c r="G65" s="3">
        <f t="shared" si="7"/>
        <v>0.11233340425531915</v>
      </c>
    </row>
    <row r="66" spans="1:7" x14ac:dyDescent="0.25">
      <c r="A66" s="32">
        <v>48</v>
      </c>
      <c r="B66">
        <f t="shared" si="3"/>
        <v>10</v>
      </c>
      <c r="C66">
        <f t="shared" si="4"/>
        <v>30</v>
      </c>
      <c r="D66">
        <f t="shared" si="5"/>
        <v>8</v>
      </c>
      <c r="F66" s="3">
        <f t="shared" si="6"/>
        <v>7.0413749999999997E-2</v>
      </c>
      <c r="G66" s="3">
        <f t="shared" si="7"/>
        <v>0.11224125</v>
      </c>
    </row>
    <row r="67" spans="1:7" x14ac:dyDescent="0.25">
      <c r="A67" s="32">
        <v>49</v>
      </c>
      <c r="B67">
        <f t="shared" si="3"/>
        <v>10</v>
      </c>
      <c r="C67">
        <f t="shared" si="4"/>
        <v>30</v>
      </c>
      <c r="D67">
        <f t="shared" si="5"/>
        <v>9</v>
      </c>
      <c r="F67" s="3">
        <f t="shared" si="6"/>
        <v>7.0148571428571421E-2</v>
      </c>
      <c r="G67" s="3">
        <f t="shared" si="7"/>
        <v>0.11215285714285715</v>
      </c>
    </row>
    <row r="68" spans="1:7" x14ac:dyDescent="0.25">
      <c r="A68" s="32">
        <v>50</v>
      </c>
      <c r="B68">
        <f t="shared" si="3"/>
        <v>10</v>
      </c>
      <c r="C68">
        <f t="shared" si="4"/>
        <v>30</v>
      </c>
      <c r="D68">
        <f t="shared" si="5"/>
        <v>10</v>
      </c>
      <c r="F68" s="3">
        <f t="shared" si="6"/>
        <v>6.9893999999999998E-2</v>
      </c>
      <c r="G68" s="3">
        <f t="shared" si="7"/>
        <v>0.11206800000000001</v>
      </c>
    </row>
    <row r="69" spans="1:7" x14ac:dyDescent="0.25">
      <c r="A69" s="32">
        <v>51</v>
      </c>
      <c r="B69">
        <f t="shared" si="3"/>
        <v>10</v>
      </c>
      <c r="C69">
        <f t="shared" si="4"/>
        <v>30</v>
      </c>
      <c r="D69">
        <f t="shared" si="5"/>
        <v>11</v>
      </c>
      <c r="F69" s="3">
        <f t="shared" si="6"/>
        <v>6.9649411764705876E-2</v>
      </c>
      <c r="G69" s="3">
        <f t="shared" si="7"/>
        <v>0.1119864705882353</v>
      </c>
    </row>
    <row r="70" spans="1:7" x14ac:dyDescent="0.25">
      <c r="A70" s="32">
        <v>52</v>
      </c>
      <c r="B70">
        <f t="shared" si="3"/>
        <v>10</v>
      </c>
      <c r="C70">
        <f t="shared" si="4"/>
        <v>30</v>
      </c>
      <c r="D70">
        <f t="shared" si="5"/>
        <v>12</v>
      </c>
      <c r="F70" s="3">
        <f t="shared" si="6"/>
        <v>6.941423076923077E-2</v>
      </c>
      <c r="G70" s="3">
        <f t="shared" si="7"/>
        <v>0.11190807692307692</v>
      </c>
    </row>
    <row r="71" spans="1:7" x14ac:dyDescent="0.25">
      <c r="A71" s="32">
        <v>53</v>
      </c>
      <c r="B71">
        <f t="shared" si="3"/>
        <v>10</v>
      </c>
      <c r="C71">
        <f t="shared" si="4"/>
        <v>30</v>
      </c>
      <c r="D71">
        <f t="shared" si="5"/>
        <v>13</v>
      </c>
      <c r="F71" s="3">
        <f t="shared" si="6"/>
        <v>6.9187924528301872E-2</v>
      </c>
      <c r="G71" s="3">
        <f t="shared" si="7"/>
        <v>0.11183264150943396</v>
      </c>
    </row>
    <row r="72" spans="1:7" x14ac:dyDescent="0.25">
      <c r="A72" s="32">
        <v>54</v>
      </c>
      <c r="B72">
        <f t="shared" si="3"/>
        <v>10</v>
      </c>
      <c r="C72">
        <f t="shared" si="4"/>
        <v>30</v>
      </c>
      <c r="D72">
        <f t="shared" si="5"/>
        <v>14</v>
      </c>
      <c r="F72" s="3">
        <f t="shared" si="6"/>
        <v>6.896999999999999E-2</v>
      </c>
      <c r="G72" s="3">
        <f t="shared" si="7"/>
        <v>0.11176000000000001</v>
      </c>
    </row>
    <row r="73" spans="1:7" x14ac:dyDescent="0.25">
      <c r="A73" s="32">
        <v>55</v>
      </c>
      <c r="B73">
        <f t="shared" si="3"/>
        <v>10</v>
      </c>
      <c r="C73">
        <f t="shared" si="4"/>
        <v>30</v>
      </c>
      <c r="D73">
        <f t="shared" si="5"/>
        <v>15</v>
      </c>
      <c r="F73" s="3">
        <f t="shared" si="6"/>
        <v>6.8759999999999988E-2</v>
      </c>
      <c r="G73" s="3">
        <f t="shared" si="7"/>
        <v>0.11169</v>
      </c>
    </row>
    <row r="74" spans="1:7" x14ac:dyDescent="0.25">
      <c r="A74" s="32">
        <v>56</v>
      </c>
      <c r="B74">
        <f t="shared" si="3"/>
        <v>10</v>
      </c>
      <c r="C74">
        <f t="shared" si="4"/>
        <v>30</v>
      </c>
      <c r="D74">
        <f t="shared" si="5"/>
        <v>16</v>
      </c>
      <c r="F74" s="3">
        <f t="shared" si="6"/>
        <v>6.8557499999999993E-2</v>
      </c>
      <c r="G74" s="3">
        <f t="shared" si="7"/>
        <v>0.1116225</v>
      </c>
    </row>
    <row r="75" spans="1:7" x14ac:dyDescent="0.25">
      <c r="A75" s="32">
        <v>57</v>
      </c>
      <c r="B75">
        <f t="shared" si="3"/>
        <v>10</v>
      </c>
      <c r="C75">
        <f t="shared" si="4"/>
        <v>30</v>
      </c>
      <c r="D75">
        <f t="shared" si="5"/>
        <v>17</v>
      </c>
      <c r="F75" s="3">
        <f t="shared" si="6"/>
        <v>6.8362105263157891E-2</v>
      </c>
      <c r="G75" s="3">
        <f t="shared" si="7"/>
        <v>0.11155736842105263</v>
      </c>
    </row>
    <row r="76" spans="1:7" x14ac:dyDescent="0.25">
      <c r="A76" s="32">
        <v>58</v>
      </c>
      <c r="B76">
        <f t="shared" si="3"/>
        <v>10</v>
      </c>
      <c r="C76">
        <f t="shared" si="4"/>
        <v>30</v>
      </c>
      <c r="D76">
        <f t="shared" si="5"/>
        <v>18</v>
      </c>
      <c r="F76" s="3">
        <f t="shared" si="6"/>
        <v>6.8173448275862067E-2</v>
      </c>
      <c r="G76" s="3">
        <f t="shared" si="7"/>
        <v>0.1114944827586207</v>
      </c>
    </row>
    <row r="77" spans="1:7" x14ac:dyDescent="0.25">
      <c r="A77" s="32">
        <v>59</v>
      </c>
      <c r="B77">
        <f t="shared" si="3"/>
        <v>10</v>
      </c>
      <c r="C77">
        <f t="shared" si="4"/>
        <v>30</v>
      </c>
      <c r="D77">
        <f t="shared" si="5"/>
        <v>19</v>
      </c>
      <c r="F77" s="3">
        <f t="shared" si="6"/>
        <v>6.7991186440677961E-2</v>
      </c>
      <c r="G77" s="3">
        <f t="shared" si="7"/>
        <v>0.11143372881355933</v>
      </c>
    </row>
    <row r="78" spans="1:7" x14ac:dyDescent="0.25">
      <c r="A78" s="32">
        <v>60</v>
      </c>
      <c r="B78">
        <f t="shared" si="3"/>
        <v>10</v>
      </c>
      <c r="C78">
        <f t="shared" si="4"/>
        <v>30</v>
      </c>
      <c r="D78">
        <f t="shared" si="5"/>
        <v>20</v>
      </c>
      <c r="F78" s="3">
        <f t="shared" si="6"/>
        <v>6.7814999999999986E-2</v>
      </c>
      <c r="G78" s="3">
        <f t="shared" si="7"/>
        <v>0.111375</v>
      </c>
    </row>
    <row r="79" spans="1:7" x14ac:dyDescent="0.25">
      <c r="A79" s="32">
        <v>61</v>
      </c>
      <c r="B79">
        <f t="shared" si="3"/>
        <v>10</v>
      </c>
      <c r="C79">
        <f t="shared" si="4"/>
        <v>30</v>
      </c>
      <c r="D79">
        <f t="shared" si="5"/>
        <v>21</v>
      </c>
      <c r="F79" s="3">
        <f t="shared" si="6"/>
        <v>6.7644590163934426E-2</v>
      </c>
      <c r="G79" s="3">
        <f t="shared" si="7"/>
        <v>0.11131819672131146</v>
      </c>
    </row>
    <row r="80" spans="1:7" x14ac:dyDescent="0.25">
      <c r="A80" s="32">
        <v>62</v>
      </c>
      <c r="B80">
        <f t="shared" si="3"/>
        <v>10</v>
      </c>
      <c r="C80">
        <f t="shared" si="4"/>
        <v>30</v>
      </c>
      <c r="D80">
        <f t="shared" si="5"/>
        <v>22</v>
      </c>
      <c r="F80" s="3">
        <f t="shared" si="6"/>
        <v>6.7479677419354844E-2</v>
      </c>
      <c r="G80" s="3">
        <f t="shared" si="7"/>
        <v>0.11126322580645161</v>
      </c>
    </row>
    <row r="81" spans="1:7" x14ac:dyDescent="0.25">
      <c r="A81" s="32">
        <v>63</v>
      </c>
      <c r="B81">
        <f t="shared" si="3"/>
        <v>10</v>
      </c>
      <c r="C81">
        <f t="shared" si="4"/>
        <v>30</v>
      </c>
      <c r="D81">
        <f t="shared" si="5"/>
        <v>23</v>
      </c>
      <c r="F81" s="3">
        <f t="shared" si="6"/>
        <v>6.7319999999999991E-2</v>
      </c>
      <c r="G81" s="3">
        <f t="shared" si="7"/>
        <v>0.11121</v>
      </c>
    </row>
    <row r="82" spans="1:7" x14ac:dyDescent="0.25">
      <c r="A82" s="32">
        <v>64</v>
      </c>
      <c r="B82">
        <f t="shared" si="3"/>
        <v>10</v>
      </c>
      <c r="C82">
        <f t="shared" si="4"/>
        <v>30</v>
      </c>
      <c r="D82">
        <f t="shared" si="5"/>
        <v>24</v>
      </c>
      <c r="F82" s="3">
        <f t="shared" si="6"/>
        <v>6.7165312499999991E-2</v>
      </c>
      <c r="G82" s="3">
        <f t="shared" si="7"/>
        <v>0.1111584375</v>
      </c>
    </row>
    <row r="83" spans="1:7" x14ac:dyDescent="0.25">
      <c r="A83" s="32">
        <v>65</v>
      </c>
      <c r="B83">
        <f t="shared" si="3"/>
        <v>10</v>
      </c>
      <c r="C83">
        <f t="shared" si="4"/>
        <v>30</v>
      </c>
      <c r="D83">
        <f t="shared" si="5"/>
        <v>25</v>
      </c>
      <c r="F83" s="3">
        <f t="shared" si="6"/>
        <v>6.7015384615384616E-2</v>
      </c>
      <c r="G83" s="3">
        <f t="shared" si="7"/>
        <v>0.11110846153846153</v>
      </c>
    </row>
    <row r="84" spans="1:7" x14ac:dyDescent="0.25">
      <c r="A84" s="32">
        <v>66</v>
      </c>
      <c r="B84">
        <f t="shared" ref="B84:B118" si="8">IF($A84&lt;10,$A84,10)</f>
        <v>10</v>
      </c>
      <c r="C84">
        <f t="shared" ref="C84:C118" si="9">IF($A84&lt;10,0,IF($A84&gt;40,30,$A84-10))</f>
        <v>30</v>
      </c>
      <c r="D84">
        <f t="shared" ref="D84:D118" si="10">IF(A84&lt;40,0,A84-40)</f>
        <v>26</v>
      </c>
      <c r="F84" s="3">
        <f t="shared" ref="F84:F118" si="11">(B84*B$13+C84*C$13+D84*D$13)/$A84</f>
        <v>6.6869999999999999E-2</v>
      </c>
      <c r="G84" s="3">
        <f t="shared" ref="G84:G118" si="12">(B84*B$14+C84*C$14+D84*D$14)/$A84</f>
        <v>0.11105999999999999</v>
      </c>
    </row>
    <row r="85" spans="1:7" x14ac:dyDescent="0.25">
      <c r="A85" s="32">
        <v>67</v>
      </c>
      <c r="B85">
        <f t="shared" si="8"/>
        <v>10</v>
      </c>
      <c r="C85">
        <f t="shared" si="9"/>
        <v>30</v>
      </c>
      <c r="D85">
        <f t="shared" si="10"/>
        <v>27</v>
      </c>
      <c r="F85" s="3">
        <f t="shared" si="11"/>
        <v>6.6728955223880601E-2</v>
      </c>
      <c r="G85" s="3">
        <f t="shared" si="12"/>
        <v>0.11101298507462687</v>
      </c>
    </row>
    <row r="86" spans="1:7" x14ac:dyDescent="0.25">
      <c r="A86" s="32">
        <v>68</v>
      </c>
      <c r="B86">
        <f t="shared" si="8"/>
        <v>10</v>
      </c>
      <c r="C86">
        <f t="shared" si="9"/>
        <v>30</v>
      </c>
      <c r="D86">
        <f t="shared" si="10"/>
        <v>28</v>
      </c>
      <c r="F86" s="3">
        <f t="shared" si="11"/>
        <v>6.6592058823529407E-2</v>
      </c>
      <c r="G86" s="3">
        <f t="shared" si="12"/>
        <v>0.11096735294117648</v>
      </c>
    </row>
    <row r="87" spans="1:7" x14ac:dyDescent="0.25">
      <c r="A87" s="32">
        <v>69</v>
      </c>
      <c r="B87">
        <f t="shared" si="8"/>
        <v>10</v>
      </c>
      <c r="C87">
        <f t="shared" si="9"/>
        <v>30</v>
      </c>
      <c r="D87">
        <f t="shared" si="10"/>
        <v>29</v>
      </c>
      <c r="F87" s="3">
        <f t="shared" si="11"/>
        <v>6.6459130434782604E-2</v>
      </c>
      <c r="G87" s="3">
        <f t="shared" si="12"/>
        <v>0.11092304347826087</v>
      </c>
    </row>
    <row r="88" spans="1:7" x14ac:dyDescent="0.25">
      <c r="A88" s="32">
        <v>70</v>
      </c>
      <c r="B88">
        <f t="shared" si="8"/>
        <v>10</v>
      </c>
      <c r="C88">
        <f t="shared" si="9"/>
        <v>30</v>
      </c>
      <c r="D88">
        <f t="shared" si="10"/>
        <v>30</v>
      </c>
      <c r="F88" s="3">
        <f t="shared" si="11"/>
        <v>6.633E-2</v>
      </c>
      <c r="G88" s="3">
        <f t="shared" si="12"/>
        <v>0.11087999999999999</v>
      </c>
    </row>
    <row r="89" spans="1:7" x14ac:dyDescent="0.25">
      <c r="A89" s="32">
        <v>71</v>
      </c>
      <c r="B89">
        <f t="shared" si="8"/>
        <v>10</v>
      </c>
      <c r="C89">
        <f t="shared" si="9"/>
        <v>30</v>
      </c>
      <c r="D89">
        <f t="shared" si="10"/>
        <v>31</v>
      </c>
      <c r="F89" s="3">
        <f t="shared" si="11"/>
        <v>6.6204507042253516E-2</v>
      </c>
      <c r="G89" s="3">
        <f t="shared" si="12"/>
        <v>0.11083816901408451</v>
      </c>
    </row>
    <row r="90" spans="1:7" x14ac:dyDescent="0.25">
      <c r="A90" s="32">
        <v>72</v>
      </c>
      <c r="B90">
        <f t="shared" si="8"/>
        <v>10</v>
      </c>
      <c r="C90">
        <f t="shared" si="9"/>
        <v>30</v>
      </c>
      <c r="D90">
        <f t="shared" si="10"/>
        <v>32</v>
      </c>
      <c r="F90" s="3">
        <f t="shared" si="11"/>
        <v>6.6082499999999988E-2</v>
      </c>
      <c r="G90" s="3">
        <f t="shared" si="12"/>
        <v>0.11079750000000001</v>
      </c>
    </row>
    <row r="91" spans="1:7" x14ac:dyDescent="0.25">
      <c r="A91" s="32">
        <v>73</v>
      </c>
      <c r="B91">
        <f t="shared" si="8"/>
        <v>10</v>
      </c>
      <c r="C91">
        <f t="shared" si="9"/>
        <v>30</v>
      </c>
      <c r="D91">
        <f t="shared" si="10"/>
        <v>33</v>
      </c>
      <c r="F91" s="3">
        <f t="shared" si="11"/>
        <v>6.5963835616438357E-2</v>
      </c>
      <c r="G91" s="3">
        <f t="shared" si="12"/>
        <v>0.11075794520547944</v>
      </c>
    </row>
    <row r="92" spans="1:7" x14ac:dyDescent="0.25">
      <c r="A92" s="32">
        <v>74</v>
      </c>
      <c r="B92">
        <f t="shared" si="8"/>
        <v>10</v>
      </c>
      <c r="C92">
        <f t="shared" si="9"/>
        <v>30</v>
      </c>
      <c r="D92">
        <f t="shared" si="10"/>
        <v>34</v>
      </c>
      <c r="F92" s="3">
        <f t="shared" si="11"/>
        <v>6.5848378378378369E-2</v>
      </c>
      <c r="G92" s="3">
        <f t="shared" si="12"/>
        <v>0.11071945945945945</v>
      </c>
    </row>
    <row r="93" spans="1:7" x14ac:dyDescent="0.25">
      <c r="A93" s="32">
        <v>75</v>
      </c>
      <c r="B93">
        <f t="shared" si="8"/>
        <v>10</v>
      </c>
      <c r="C93">
        <f t="shared" si="9"/>
        <v>30</v>
      </c>
      <c r="D93">
        <f t="shared" si="10"/>
        <v>35</v>
      </c>
      <c r="F93" s="3">
        <f t="shared" si="11"/>
        <v>6.5735999999999989E-2</v>
      </c>
      <c r="G93" s="3">
        <f t="shared" si="12"/>
        <v>0.110682</v>
      </c>
    </row>
    <row r="94" spans="1:7" x14ac:dyDescent="0.25">
      <c r="A94" s="32">
        <v>76</v>
      </c>
      <c r="B94">
        <f t="shared" si="8"/>
        <v>10</v>
      </c>
      <c r="C94">
        <f t="shared" si="9"/>
        <v>30</v>
      </c>
      <c r="D94">
        <f t="shared" si="10"/>
        <v>36</v>
      </c>
      <c r="F94" s="3">
        <f t="shared" si="11"/>
        <v>6.5626578947368411E-2</v>
      </c>
      <c r="G94" s="3">
        <f t="shared" si="12"/>
        <v>0.11064552631578947</v>
      </c>
    </row>
    <row r="95" spans="1:7" x14ac:dyDescent="0.25">
      <c r="A95" s="32">
        <v>77</v>
      </c>
      <c r="B95">
        <f t="shared" si="8"/>
        <v>10</v>
      </c>
      <c r="C95">
        <f t="shared" si="9"/>
        <v>30</v>
      </c>
      <c r="D95">
        <f t="shared" si="10"/>
        <v>37</v>
      </c>
      <c r="F95" s="3">
        <f t="shared" si="11"/>
        <v>6.5520000000000009E-2</v>
      </c>
      <c r="G95" s="3">
        <f t="shared" si="12"/>
        <v>0.11061000000000001</v>
      </c>
    </row>
    <row r="96" spans="1:7" x14ac:dyDescent="0.25">
      <c r="A96" s="32">
        <v>78</v>
      </c>
      <c r="B96">
        <f t="shared" si="8"/>
        <v>10</v>
      </c>
      <c r="C96">
        <f t="shared" si="9"/>
        <v>30</v>
      </c>
      <c r="D96">
        <f t="shared" si="10"/>
        <v>38</v>
      </c>
      <c r="F96" s="3">
        <f t="shared" si="11"/>
        <v>6.5416153846153846E-2</v>
      </c>
      <c r="G96" s="3">
        <f t="shared" si="12"/>
        <v>0.11057538461538463</v>
      </c>
    </row>
    <row r="97" spans="1:7" x14ac:dyDescent="0.25">
      <c r="A97" s="32">
        <v>79</v>
      </c>
      <c r="B97">
        <f t="shared" si="8"/>
        <v>10</v>
      </c>
      <c r="C97">
        <f t="shared" si="9"/>
        <v>30</v>
      </c>
      <c r="D97">
        <f t="shared" si="10"/>
        <v>39</v>
      </c>
      <c r="F97" s="3">
        <f t="shared" si="11"/>
        <v>6.5314936708860752E-2</v>
      </c>
      <c r="G97" s="3">
        <f t="shared" si="12"/>
        <v>0.11054164556962025</v>
      </c>
    </row>
    <row r="98" spans="1:7" x14ac:dyDescent="0.25">
      <c r="A98" s="32">
        <v>80</v>
      </c>
      <c r="B98">
        <f t="shared" si="8"/>
        <v>10</v>
      </c>
      <c r="C98">
        <f t="shared" si="9"/>
        <v>30</v>
      </c>
      <c r="D98">
        <f t="shared" si="10"/>
        <v>40</v>
      </c>
      <c r="F98" s="3">
        <f t="shared" si="11"/>
        <v>6.5216250000000003E-2</v>
      </c>
      <c r="G98" s="3">
        <f t="shared" si="12"/>
        <v>0.11050875</v>
      </c>
    </row>
    <row r="99" spans="1:7" x14ac:dyDescent="0.25">
      <c r="A99" s="32">
        <v>81</v>
      </c>
      <c r="B99">
        <f t="shared" si="8"/>
        <v>10</v>
      </c>
      <c r="C99">
        <f t="shared" si="9"/>
        <v>30</v>
      </c>
      <c r="D99">
        <f t="shared" si="10"/>
        <v>41</v>
      </c>
      <c r="F99" s="3">
        <f t="shared" si="11"/>
        <v>6.5119999999999997E-2</v>
      </c>
      <c r="G99" s="3">
        <f t="shared" si="12"/>
        <v>0.11047666666666665</v>
      </c>
    </row>
    <row r="100" spans="1:7" x14ac:dyDescent="0.25">
      <c r="A100" s="32">
        <v>82</v>
      </c>
      <c r="B100">
        <f t="shared" si="8"/>
        <v>10</v>
      </c>
      <c r="C100">
        <f t="shared" si="9"/>
        <v>30</v>
      </c>
      <c r="D100">
        <f t="shared" si="10"/>
        <v>42</v>
      </c>
      <c r="F100" s="3">
        <f t="shared" si="11"/>
        <v>6.5026097560975604E-2</v>
      </c>
      <c r="G100" s="3">
        <f t="shared" si="12"/>
        <v>0.11044536585365852</v>
      </c>
    </row>
    <row r="101" spans="1:7" x14ac:dyDescent="0.25">
      <c r="A101" s="32">
        <v>83</v>
      </c>
      <c r="B101">
        <f t="shared" si="8"/>
        <v>10</v>
      </c>
      <c r="C101">
        <f t="shared" si="9"/>
        <v>30</v>
      </c>
      <c r="D101">
        <f t="shared" si="10"/>
        <v>43</v>
      </c>
      <c r="F101" s="3">
        <f t="shared" si="11"/>
        <v>6.4934457831325301E-2</v>
      </c>
      <c r="G101" s="3">
        <f t="shared" si="12"/>
        <v>0.11041481927710843</v>
      </c>
    </row>
    <row r="102" spans="1:7" x14ac:dyDescent="0.25">
      <c r="A102" s="32">
        <v>84</v>
      </c>
      <c r="B102">
        <f t="shared" si="8"/>
        <v>10</v>
      </c>
      <c r="C102">
        <f t="shared" si="9"/>
        <v>30</v>
      </c>
      <c r="D102">
        <f t="shared" si="10"/>
        <v>44</v>
      </c>
      <c r="F102" s="3">
        <f t="shared" si="11"/>
        <v>6.4845E-2</v>
      </c>
      <c r="G102" s="3">
        <f t="shared" si="12"/>
        <v>0.110385</v>
      </c>
    </row>
    <row r="103" spans="1:7" x14ac:dyDescent="0.25">
      <c r="A103" s="32">
        <v>85</v>
      </c>
      <c r="B103">
        <f t="shared" si="8"/>
        <v>10</v>
      </c>
      <c r="C103">
        <f t="shared" si="9"/>
        <v>30</v>
      </c>
      <c r="D103">
        <f t="shared" si="10"/>
        <v>45</v>
      </c>
      <c r="F103" s="3">
        <f t="shared" si="11"/>
        <v>6.4757647058823531E-2</v>
      </c>
      <c r="G103" s="3">
        <f t="shared" si="12"/>
        <v>0.11035588235294118</v>
      </c>
    </row>
    <row r="104" spans="1:7" x14ac:dyDescent="0.25">
      <c r="A104" s="32">
        <v>86</v>
      </c>
      <c r="B104">
        <f t="shared" si="8"/>
        <v>10</v>
      </c>
      <c r="C104">
        <f t="shared" si="9"/>
        <v>30</v>
      </c>
      <c r="D104">
        <f t="shared" si="10"/>
        <v>46</v>
      </c>
      <c r="F104" s="3">
        <f t="shared" si="11"/>
        <v>6.4672325581395351E-2</v>
      </c>
      <c r="G104" s="3">
        <f t="shared" si="12"/>
        <v>0.11032744186046513</v>
      </c>
    </row>
    <row r="105" spans="1:7" x14ac:dyDescent="0.25">
      <c r="A105" s="32">
        <v>87</v>
      </c>
      <c r="B105">
        <f t="shared" si="8"/>
        <v>10</v>
      </c>
      <c r="C105">
        <f t="shared" si="9"/>
        <v>30</v>
      </c>
      <c r="D105">
        <f t="shared" si="10"/>
        <v>47</v>
      </c>
      <c r="F105" s="3">
        <f t="shared" si="11"/>
        <v>6.4588965517241373E-2</v>
      </c>
      <c r="G105" s="3">
        <f t="shared" si="12"/>
        <v>0.1102996551724138</v>
      </c>
    </row>
    <row r="106" spans="1:7" x14ac:dyDescent="0.25">
      <c r="A106" s="32">
        <v>88</v>
      </c>
      <c r="B106">
        <f t="shared" si="8"/>
        <v>10</v>
      </c>
      <c r="C106">
        <f t="shared" si="9"/>
        <v>30</v>
      </c>
      <c r="D106">
        <f t="shared" si="10"/>
        <v>48</v>
      </c>
      <c r="F106" s="3">
        <f t="shared" si="11"/>
        <v>6.4507499999999995E-2</v>
      </c>
      <c r="G106" s="3">
        <f t="shared" si="12"/>
        <v>0.1102725</v>
      </c>
    </row>
    <row r="107" spans="1:7" x14ac:dyDescent="0.25">
      <c r="A107" s="32">
        <v>89</v>
      </c>
      <c r="B107">
        <f t="shared" si="8"/>
        <v>10</v>
      </c>
      <c r="C107">
        <f t="shared" si="9"/>
        <v>30</v>
      </c>
      <c r="D107">
        <f t="shared" si="10"/>
        <v>49</v>
      </c>
      <c r="F107" s="3">
        <f t="shared" si="11"/>
        <v>6.4427865168539336E-2</v>
      </c>
      <c r="G107" s="3">
        <f t="shared" si="12"/>
        <v>0.11024595505617978</v>
      </c>
    </row>
    <row r="108" spans="1:7" x14ac:dyDescent="0.25">
      <c r="A108" s="32">
        <v>90</v>
      </c>
      <c r="B108">
        <f t="shared" si="8"/>
        <v>10</v>
      </c>
      <c r="C108">
        <f t="shared" si="9"/>
        <v>30</v>
      </c>
      <c r="D108">
        <f t="shared" si="10"/>
        <v>50</v>
      </c>
      <c r="F108" s="3">
        <f t="shared" si="11"/>
        <v>6.4350000000000004E-2</v>
      </c>
      <c r="G108" s="3">
        <f t="shared" si="12"/>
        <v>0.11021999999999998</v>
      </c>
    </row>
    <row r="109" spans="1:7" x14ac:dyDescent="0.25">
      <c r="A109" s="32">
        <v>91</v>
      </c>
      <c r="B109">
        <f t="shared" si="8"/>
        <v>10</v>
      </c>
      <c r="C109">
        <f t="shared" si="9"/>
        <v>30</v>
      </c>
      <c r="D109">
        <f t="shared" si="10"/>
        <v>51</v>
      </c>
      <c r="F109" s="3">
        <f t="shared" si="11"/>
        <v>6.4273846153846154E-2</v>
      </c>
      <c r="G109" s="3">
        <f t="shared" si="12"/>
        <v>0.11019461538461538</v>
      </c>
    </row>
    <row r="110" spans="1:7" x14ac:dyDescent="0.25">
      <c r="A110" s="32">
        <v>92</v>
      </c>
      <c r="B110">
        <f t="shared" si="8"/>
        <v>10</v>
      </c>
      <c r="C110">
        <f t="shared" si="9"/>
        <v>30</v>
      </c>
      <c r="D110">
        <f t="shared" si="10"/>
        <v>52</v>
      </c>
      <c r="F110" s="3">
        <f t="shared" si="11"/>
        <v>6.4199347826086953E-2</v>
      </c>
      <c r="G110" s="3">
        <f t="shared" si="12"/>
        <v>0.11016978260869564</v>
      </c>
    </row>
    <row r="111" spans="1:7" x14ac:dyDescent="0.25">
      <c r="A111" s="32">
        <v>93</v>
      </c>
      <c r="B111">
        <f t="shared" si="8"/>
        <v>10</v>
      </c>
      <c r="C111">
        <f t="shared" si="9"/>
        <v>30</v>
      </c>
      <c r="D111">
        <f t="shared" si="10"/>
        <v>53</v>
      </c>
      <c r="F111" s="3">
        <f t="shared" si="11"/>
        <v>6.4126451612903229E-2</v>
      </c>
      <c r="G111" s="3">
        <f t="shared" si="12"/>
        <v>0.11014548387096774</v>
      </c>
    </row>
    <row r="112" spans="1:7" x14ac:dyDescent="0.25">
      <c r="A112" s="32">
        <v>94</v>
      </c>
      <c r="B112">
        <f t="shared" si="8"/>
        <v>10</v>
      </c>
      <c r="C112">
        <f t="shared" si="9"/>
        <v>30</v>
      </c>
      <c r="D112">
        <f t="shared" si="10"/>
        <v>54</v>
      </c>
      <c r="F112" s="3">
        <f t="shared" si="11"/>
        <v>6.4055106382978719E-2</v>
      </c>
      <c r="G112" s="3">
        <f t="shared" si="12"/>
        <v>0.11012170212765958</v>
      </c>
    </row>
    <row r="113" spans="1:7" x14ac:dyDescent="0.25">
      <c r="A113" s="32">
        <v>95</v>
      </c>
      <c r="B113">
        <f t="shared" si="8"/>
        <v>10</v>
      </c>
      <c r="C113">
        <f t="shared" si="9"/>
        <v>30</v>
      </c>
      <c r="D113">
        <f t="shared" si="10"/>
        <v>55</v>
      </c>
      <c r="F113" s="3">
        <f t="shared" si="11"/>
        <v>6.398526315789474E-2</v>
      </c>
      <c r="G113" s="3">
        <f t="shared" si="12"/>
        <v>0.11009842105263158</v>
      </c>
    </row>
    <row r="114" spans="1:7" x14ac:dyDescent="0.25">
      <c r="A114" s="32">
        <v>96</v>
      </c>
      <c r="B114">
        <f t="shared" si="8"/>
        <v>10</v>
      </c>
      <c r="C114">
        <f t="shared" si="9"/>
        <v>30</v>
      </c>
      <c r="D114">
        <f t="shared" si="10"/>
        <v>56</v>
      </c>
      <c r="F114" s="3">
        <f t="shared" si="11"/>
        <v>6.3916874999999998E-2</v>
      </c>
      <c r="G114" s="3">
        <f t="shared" si="12"/>
        <v>0.11007562500000001</v>
      </c>
    </row>
    <row r="115" spans="1:7" x14ac:dyDescent="0.25">
      <c r="A115" s="32">
        <v>97</v>
      </c>
      <c r="B115">
        <f t="shared" si="8"/>
        <v>10</v>
      </c>
      <c r="C115">
        <f t="shared" si="9"/>
        <v>30</v>
      </c>
      <c r="D115">
        <f t="shared" si="10"/>
        <v>57</v>
      </c>
      <c r="F115" s="3">
        <f t="shared" si="11"/>
        <v>6.38498969072165E-2</v>
      </c>
      <c r="G115" s="3">
        <f t="shared" si="12"/>
        <v>0.11005329896907216</v>
      </c>
    </row>
    <row r="116" spans="1:7" x14ac:dyDescent="0.25">
      <c r="A116" s="32">
        <v>98</v>
      </c>
      <c r="B116">
        <f t="shared" si="8"/>
        <v>10</v>
      </c>
      <c r="C116">
        <f t="shared" si="9"/>
        <v>30</v>
      </c>
      <c r="D116">
        <f t="shared" si="10"/>
        <v>58</v>
      </c>
      <c r="F116" s="3">
        <f t="shared" si="11"/>
        <v>6.378428571428571E-2</v>
      </c>
      <c r="G116" s="3">
        <f t="shared" si="12"/>
        <v>0.11003142857142857</v>
      </c>
    </row>
    <row r="117" spans="1:7" x14ac:dyDescent="0.25">
      <c r="A117" s="32">
        <v>99</v>
      </c>
      <c r="B117">
        <f t="shared" si="8"/>
        <v>10</v>
      </c>
      <c r="C117">
        <f t="shared" si="9"/>
        <v>30</v>
      </c>
      <c r="D117">
        <f t="shared" si="10"/>
        <v>59</v>
      </c>
      <c r="F117" s="3">
        <f t="shared" si="11"/>
        <v>6.3719999999999999E-2</v>
      </c>
      <c r="G117" s="3">
        <f t="shared" si="12"/>
        <v>0.11000999999999998</v>
      </c>
    </row>
    <row r="118" spans="1:7" x14ac:dyDescent="0.25">
      <c r="A118" s="32">
        <v>100</v>
      </c>
      <c r="B118">
        <f t="shared" si="8"/>
        <v>10</v>
      </c>
      <c r="C118">
        <f t="shared" si="9"/>
        <v>30</v>
      </c>
      <c r="D118">
        <f t="shared" si="10"/>
        <v>60</v>
      </c>
      <c r="F118" s="3">
        <f t="shared" si="11"/>
        <v>6.3657000000000005E-2</v>
      </c>
      <c r="G118" s="3">
        <f t="shared" si="12"/>
        <v>0.10998899999999999</v>
      </c>
    </row>
    <row r="119" spans="1:7" x14ac:dyDescent="0.25">
      <c r="A119" s="32">
        <v>101</v>
      </c>
      <c r="F119" s="3" t="s">
        <v>47</v>
      </c>
      <c r="G119" s="3" t="s">
        <v>47</v>
      </c>
    </row>
  </sheetData>
  <hyperlinks>
    <hyperlink ref="G5" r:id="rId1" display="https://www.solarwirtschaft.de/datawall/uploads/2023/01/bsw_verguetungssaetze_aktuell.pdf" xr:uid="{FDF05803-4D2A-4CB2-8AFF-3A675B1C6F59}"/>
    <hyperlink ref="G6" r:id="rId2" display="https://www.solarwirtschaft.de/datawall/uploads/2023/01/bsw_verguetungssaetze_aktuell.pdf" xr:uid="{33E50394-E74C-4B84-AE94-ABBE8F34131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BE21-44AA-4BE0-9890-A70CB72F5A13}">
  <dimension ref="A1:H25"/>
  <sheetViews>
    <sheetView workbookViewId="0">
      <selection activeCell="D31" sqref="D31"/>
    </sheetView>
  </sheetViews>
  <sheetFormatPr defaultRowHeight="15" x14ac:dyDescent="0.25"/>
  <cols>
    <col min="1" max="1" width="20.140625" customWidth="1"/>
    <col min="2" max="2" width="12.7109375" customWidth="1"/>
    <col min="6" max="7" width="16.140625" customWidth="1"/>
    <col min="8" max="8" width="14.5703125" customWidth="1"/>
  </cols>
  <sheetData>
    <row r="1" spans="1:8" x14ac:dyDescent="0.25">
      <c r="A1" t="s">
        <v>87</v>
      </c>
    </row>
    <row r="3" spans="1:8" x14ac:dyDescent="0.25">
      <c r="A3" s="71" t="s">
        <v>77</v>
      </c>
      <c r="B3" s="71"/>
      <c r="C3" s="71"/>
      <c r="E3" s="72" t="s">
        <v>78</v>
      </c>
      <c r="F3" s="73"/>
      <c r="G3" s="73"/>
      <c r="H3" s="73"/>
    </row>
    <row r="4" spans="1:8" x14ac:dyDescent="0.25">
      <c r="A4" t="s">
        <v>79</v>
      </c>
      <c r="B4" s="74">
        <v>10000</v>
      </c>
      <c r="E4" s="75" t="s">
        <v>80</v>
      </c>
      <c r="F4" s="76" t="s">
        <v>81</v>
      </c>
      <c r="G4" s="77" t="s">
        <v>82</v>
      </c>
      <c r="H4" s="77" t="s">
        <v>83</v>
      </c>
    </row>
    <row r="5" spans="1:8" x14ac:dyDescent="0.25">
      <c r="A5" t="s">
        <v>4</v>
      </c>
      <c r="B5">
        <v>10</v>
      </c>
      <c r="C5" t="s">
        <v>2</v>
      </c>
      <c r="E5" s="78">
        <v>1</v>
      </c>
      <c r="F5" s="44">
        <f>B4</f>
        <v>10000</v>
      </c>
      <c r="G5" s="44">
        <f>B$9*F5</f>
        <v>775.46895328061998</v>
      </c>
      <c r="H5" s="44">
        <f>-$B$8</f>
        <v>-1000</v>
      </c>
    </row>
    <row r="6" spans="1:8" x14ac:dyDescent="0.25">
      <c r="B6" s="74"/>
      <c r="C6" s="2"/>
      <c r="E6" s="78">
        <v>2</v>
      </c>
      <c r="F6" s="44">
        <f t="shared" ref="F6:F25" si="0">F5+H5+G5</f>
        <v>9775.4689532806206</v>
      </c>
      <c r="G6" s="44">
        <f t="shared" ref="G6:G24" si="1">B$9*F6</f>
        <v>758.05726770277204</v>
      </c>
      <c r="H6" s="44">
        <f t="shared" ref="H6:H24" si="2">-$B$8</f>
        <v>-1000</v>
      </c>
    </row>
    <row r="7" spans="1:8" x14ac:dyDescent="0.25">
      <c r="A7" s="71" t="s">
        <v>84</v>
      </c>
      <c r="B7" s="71"/>
      <c r="C7" s="71"/>
      <c r="E7" s="78">
        <v>3</v>
      </c>
      <c r="F7" s="44">
        <f>F6+H6+G6</f>
        <v>9533.5262209833927</v>
      </c>
      <c r="G7" s="44">
        <f t="shared" si="1"/>
        <v>739.29535996593359</v>
      </c>
      <c r="H7" s="44">
        <f t="shared" si="2"/>
        <v>-1000</v>
      </c>
    </row>
    <row r="8" spans="1:8" x14ac:dyDescent="0.25">
      <c r="A8" t="s">
        <v>85</v>
      </c>
      <c r="B8" s="44">
        <f>B4/B5</f>
        <v>1000</v>
      </c>
      <c r="C8" s="79"/>
      <c r="E8" s="78">
        <v>4</v>
      </c>
      <c r="F8" s="44">
        <f t="shared" si="0"/>
        <v>9272.8215809493267</v>
      </c>
      <c r="G8" s="44">
        <f t="shared" si="1"/>
        <v>719.07852453367184</v>
      </c>
      <c r="H8" s="44">
        <f t="shared" si="2"/>
        <v>-1000</v>
      </c>
    </row>
    <row r="9" spans="1:8" x14ac:dyDescent="0.25">
      <c r="A9" t="s">
        <v>82</v>
      </c>
      <c r="B9" s="80">
        <v>7.7546895328061999E-2</v>
      </c>
      <c r="E9" s="78">
        <v>5</v>
      </c>
      <c r="F9" s="44">
        <f t="shared" si="0"/>
        <v>8991.9001054829987</v>
      </c>
      <c r="G9" s="44">
        <f t="shared" si="1"/>
        <v>697.29393628027969</v>
      </c>
      <c r="H9" s="44">
        <f t="shared" si="2"/>
        <v>-1000</v>
      </c>
    </row>
    <row r="10" spans="1:8" x14ac:dyDescent="0.25">
      <c r="E10" s="78">
        <v>6</v>
      </c>
      <c r="F10" s="44">
        <f t="shared" si="0"/>
        <v>8689.1940417632777</v>
      </c>
      <c r="G10" s="44">
        <f t="shared" si="1"/>
        <v>673.82002084183682</v>
      </c>
      <c r="H10" s="44">
        <f t="shared" si="2"/>
        <v>-1000</v>
      </c>
    </row>
    <row r="11" spans="1:8" x14ac:dyDescent="0.25">
      <c r="E11" s="78">
        <v>7</v>
      </c>
      <c r="F11" s="44">
        <f t="shared" si="0"/>
        <v>8363.0140626051143</v>
      </c>
      <c r="G11" s="44">
        <f t="shared" si="1"/>
        <v>648.52577613994936</v>
      </c>
      <c r="H11" s="44">
        <f t="shared" si="2"/>
        <v>-1000</v>
      </c>
    </row>
    <row r="12" spans="1:8" x14ac:dyDescent="0.25">
      <c r="E12" s="78">
        <v>8</v>
      </c>
      <c r="F12" s="44">
        <f t="shared" si="0"/>
        <v>8011.5398387450641</v>
      </c>
      <c r="G12" s="44">
        <f t="shared" si="1"/>
        <v>621.27004129176214</v>
      </c>
      <c r="H12" s="44">
        <f t="shared" si="2"/>
        <v>-1000</v>
      </c>
    </row>
    <row r="13" spans="1:8" x14ac:dyDescent="0.25">
      <c r="B13" s="44"/>
      <c r="E13" s="78">
        <v>9</v>
      </c>
      <c r="F13" s="44">
        <f t="shared" si="0"/>
        <v>7632.8098800368261</v>
      </c>
      <c r="G13" s="44">
        <f t="shared" si="1"/>
        <v>591.90070882621319</v>
      </c>
      <c r="H13" s="44">
        <f t="shared" si="2"/>
        <v>-1000</v>
      </c>
    </row>
    <row r="14" spans="1:8" x14ac:dyDescent="0.25">
      <c r="E14" s="78">
        <v>10</v>
      </c>
      <c r="F14" s="44">
        <f t="shared" si="0"/>
        <v>7224.7105888630394</v>
      </c>
      <c r="G14" s="44">
        <f t="shared" si="1"/>
        <v>560.2538758101033</v>
      </c>
      <c r="H14" s="44">
        <f t="shared" si="2"/>
        <v>-1000</v>
      </c>
    </row>
    <row r="15" spans="1:8" x14ac:dyDescent="0.25">
      <c r="B15" s="44"/>
      <c r="E15" s="78">
        <v>11</v>
      </c>
      <c r="F15" s="44">
        <f t="shared" si="0"/>
        <v>6784.9644646731431</v>
      </c>
      <c r="G15" s="44">
        <f t="shared" si="1"/>
        <v>526.15292914662848</v>
      </c>
      <c r="H15" s="44">
        <f t="shared" si="2"/>
        <v>-1000</v>
      </c>
    </row>
    <row r="16" spans="1:8" x14ac:dyDescent="0.25">
      <c r="C16" s="2"/>
      <c r="E16" s="78">
        <v>12</v>
      </c>
      <c r="F16" s="44">
        <f t="shared" si="0"/>
        <v>6311.1173938197717</v>
      </c>
      <c r="G16" s="44">
        <f t="shared" si="1"/>
        <v>489.40755994165329</v>
      </c>
      <c r="H16" s="44">
        <f t="shared" si="2"/>
        <v>-1000</v>
      </c>
    </row>
    <row r="17" spans="2:8" x14ac:dyDescent="0.25">
      <c r="E17" s="78">
        <v>13</v>
      </c>
      <c r="F17" s="44">
        <f t="shared" si="0"/>
        <v>5800.5249537614254</v>
      </c>
      <c r="G17" s="44">
        <f t="shared" si="1"/>
        <v>449.81270143714892</v>
      </c>
      <c r="H17" s="44">
        <f t="shared" si="2"/>
        <v>-1000</v>
      </c>
    </row>
    <row r="18" spans="2:8" x14ac:dyDescent="0.25">
      <c r="E18" s="78">
        <v>14</v>
      </c>
      <c r="F18" s="44">
        <f t="shared" si="0"/>
        <v>5250.3376551985748</v>
      </c>
      <c r="G18" s="44">
        <f t="shared" si="1"/>
        <v>407.14738458466633</v>
      </c>
      <c r="H18" s="44">
        <f t="shared" si="2"/>
        <v>-1000</v>
      </c>
    </row>
    <row r="19" spans="2:8" x14ac:dyDescent="0.25">
      <c r="B19" s="81"/>
      <c r="E19" s="78">
        <v>15</v>
      </c>
      <c r="F19" s="44">
        <f t="shared" si="0"/>
        <v>4657.4850397832415</v>
      </c>
      <c r="G19" s="44">
        <f t="shared" si="1"/>
        <v>361.17350487208569</v>
      </c>
      <c r="H19" s="44">
        <f t="shared" si="2"/>
        <v>-1000</v>
      </c>
    </row>
    <row r="20" spans="2:8" x14ac:dyDescent="0.25">
      <c r="B20" s="82"/>
      <c r="E20" s="78">
        <v>16</v>
      </c>
      <c r="F20" s="44">
        <f t="shared" si="0"/>
        <v>4018.6585446553272</v>
      </c>
      <c r="G20" s="44">
        <f t="shared" si="1"/>
        <v>311.63449352160865</v>
      </c>
      <c r="H20" s="44">
        <f t="shared" si="2"/>
        <v>-1000</v>
      </c>
    </row>
    <row r="21" spans="2:8" x14ac:dyDescent="0.25">
      <c r="E21" s="78">
        <v>17</v>
      </c>
      <c r="F21" s="44">
        <f t="shared" si="0"/>
        <v>3330.2930381769356</v>
      </c>
      <c r="G21" s="44">
        <f t="shared" si="1"/>
        <v>258.2538856432804</v>
      </c>
      <c r="H21" s="44">
        <f t="shared" si="2"/>
        <v>-1000</v>
      </c>
    </row>
    <row r="22" spans="2:8" x14ac:dyDescent="0.25">
      <c r="E22" s="78">
        <v>18</v>
      </c>
      <c r="F22" s="44">
        <f t="shared" si="0"/>
        <v>2588.5469238202159</v>
      </c>
      <c r="G22" s="44">
        <f t="shared" si="1"/>
        <v>200.73377735326315</v>
      </c>
      <c r="H22" s="44">
        <f t="shared" si="2"/>
        <v>-1000</v>
      </c>
    </row>
    <row r="23" spans="2:8" x14ac:dyDescent="0.25">
      <c r="E23" s="78">
        <v>19</v>
      </c>
      <c r="F23" s="44">
        <f t="shared" si="0"/>
        <v>1789.280701173479</v>
      </c>
      <c r="G23" s="44">
        <f t="shared" si="1"/>
        <v>138.75316324642117</v>
      </c>
      <c r="H23" s="44">
        <f t="shared" si="2"/>
        <v>-1000</v>
      </c>
    </row>
    <row r="24" spans="2:8" x14ac:dyDescent="0.25">
      <c r="E24" s="78">
        <v>20</v>
      </c>
      <c r="F24" s="44">
        <f t="shared" si="0"/>
        <v>928.03386441990017</v>
      </c>
      <c r="G24" s="44">
        <f t="shared" si="1"/>
        <v>71.966144945066873</v>
      </c>
      <c r="H24" s="44">
        <f t="shared" si="2"/>
        <v>-1000</v>
      </c>
    </row>
    <row r="25" spans="2:8" x14ac:dyDescent="0.25">
      <c r="E25" s="78">
        <v>21</v>
      </c>
      <c r="F25" s="83">
        <f t="shared" si="0"/>
        <v>9.3649670418471942E-6</v>
      </c>
      <c r="G25" s="44"/>
      <c r="H25" s="4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376A-A417-42F8-A7E6-F4B55C36AD19}">
  <dimension ref="A2:G41"/>
  <sheetViews>
    <sheetView workbookViewId="0">
      <selection activeCell="A20" sqref="A20"/>
    </sheetView>
  </sheetViews>
  <sheetFormatPr defaultRowHeight="15" x14ac:dyDescent="0.25"/>
  <cols>
    <col min="1" max="1" width="23.28515625" customWidth="1"/>
    <col min="2" max="2" width="11" bestFit="1" customWidth="1"/>
    <col min="3" max="3" width="5.5703125" customWidth="1"/>
    <col min="5" max="7" width="12.5703125" style="81" customWidth="1"/>
  </cols>
  <sheetData>
    <row r="2" spans="1:7" x14ac:dyDescent="0.25">
      <c r="A2" s="89" t="s">
        <v>77</v>
      </c>
      <c r="B2" s="89"/>
      <c r="D2" s="89" t="s">
        <v>99</v>
      </c>
      <c r="E2" s="90"/>
      <c r="F2" s="90"/>
      <c r="G2" s="90"/>
    </row>
    <row r="3" spans="1:7" x14ac:dyDescent="0.25">
      <c r="A3" t="s">
        <v>98</v>
      </c>
      <c r="B3" s="74">
        <v>2914</v>
      </c>
      <c r="D3" t="s">
        <v>80</v>
      </c>
      <c r="E3" s="81" t="s">
        <v>100</v>
      </c>
      <c r="F3" s="81" t="s">
        <v>95</v>
      </c>
      <c r="G3" s="81" t="s">
        <v>101</v>
      </c>
    </row>
    <row r="4" spans="1:7" x14ac:dyDescent="0.25">
      <c r="A4" t="s">
        <v>95</v>
      </c>
      <c r="B4" s="88">
        <v>7.0000000000000007E-2</v>
      </c>
      <c r="D4">
        <v>0</v>
      </c>
      <c r="E4" s="81">
        <f>B3</f>
        <v>2914</v>
      </c>
      <c r="F4" s="81">
        <f t="shared" ref="F4:F41" si="0">B$4*E4</f>
        <v>203.98000000000002</v>
      </c>
      <c r="G4" s="81">
        <f>B$8</f>
        <v>404.40000000000003</v>
      </c>
    </row>
    <row r="5" spans="1:7" x14ac:dyDescent="0.25">
      <c r="A5" t="s">
        <v>103</v>
      </c>
      <c r="B5" s="81">
        <v>33.700000000000003</v>
      </c>
      <c r="D5">
        <v>1</v>
      </c>
      <c r="E5" s="81">
        <f>E4+F4-G4</f>
        <v>2713.58</v>
      </c>
      <c r="F5" s="81">
        <f t="shared" si="0"/>
        <v>189.95060000000001</v>
      </c>
      <c r="G5" s="81">
        <f t="shared" ref="G5:G7" si="1">B$8</f>
        <v>404.40000000000003</v>
      </c>
    </row>
    <row r="6" spans="1:7" x14ac:dyDescent="0.25">
      <c r="D6">
        <v>2</v>
      </c>
      <c r="E6" s="81">
        <f t="shared" ref="E6:E7" si="2">E5+F5-G5</f>
        <v>2499.1306</v>
      </c>
      <c r="F6" s="81">
        <f t="shared" si="0"/>
        <v>174.939142</v>
      </c>
      <c r="G6" s="81">
        <f t="shared" si="1"/>
        <v>404.40000000000003</v>
      </c>
    </row>
    <row r="7" spans="1:7" x14ac:dyDescent="0.25">
      <c r="A7" s="89" t="s">
        <v>84</v>
      </c>
      <c r="B7" s="89"/>
      <c r="D7">
        <v>3</v>
      </c>
      <c r="E7" s="81">
        <f t="shared" si="2"/>
        <v>2269.669742</v>
      </c>
      <c r="F7" s="81">
        <f t="shared" si="0"/>
        <v>158.87688194</v>
      </c>
      <c r="G7" s="81">
        <f t="shared" si="1"/>
        <v>404.40000000000003</v>
      </c>
    </row>
    <row r="8" spans="1:7" x14ac:dyDescent="0.25">
      <c r="A8" t="s">
        <v>102</v>
      </c>
      <c r="B8" s="44">
        <f>B5*12</f>
        <v>404.40000000000003</v>
      </c>
      <c r="D8">
        <v>4</v>
      </c>
      <c r="E8" s="81">
        <f t="shared" ref="E8:E41" si="3">E7+F7-G7</f>
        <v>2024.1466239400002</v>
      </c>
      <c r="F8" s="81">
        <f t="shared" si="0"/>
        <v>141.69026367580003</v>
      </c>
      <c r="G8" s="81">
        <f t="shared" ref="G8:G41" si="4">B$8</f>
        <v>404.40000000000003</v>
      </c>
    </row>
    <row r="9" spans="1:7" x14ac:dyDescent="0.25">
      <c r="A9" t="s">
        <v>104</v>
      </c>
      <c r="B9" s="91">
        <f>NPER(B4,B5*12,-B3,0,0)</f>
        <v>10.375455885551959</v>
      </c>
      <c r="D9">
        <v>5</v>
      </c>
      <c r="E9" s="81">
        <f t="shared" si="3"/>
        <v>1761.4368876158001</v>
      </c>
      <c r="F9" s="81">
        <f t="shared" si="0"/>
        <v>123.30058213310602</v>
      </c>
      <c r="G9" s="81">
        <f t="shared" si="4"/>
        <v>404.40000000000003</v>
      </c>
    </row>
    <row r="10" spans="1:7" x14ac:dyDescent="0.25">
      <c r="D10">
        <v>6</v>
      </c>
      <c r="E10" s="81">
        <f t="shared" si="3"/>
        <v>1480.337469748906</v>
      </c>
      <c r="F10" s="81">
        <f t="shared" si="0"/>
        <v>103.62362288242343</v>
      </c>
      <c r="G10" s="81">
        <f t="shared" si="4"/>
        <v>404.40000000000003</v>
      </c>
    </row>
    <row r="11" spans="1:7" x14ac:dyDescent="0.25">
      <c r="D11">
        <v>7</v>
      </c>
      <c r="E11" s="81">
        <f t="shared" si="3"/>
        <v>1179.5610926313293</v>
      </c>
      <c r="F11" s="81">
        <f t="shared" si="0"/>
        <v>82.569276484193054</v>
      </c>
      <c r="G11" s="81">
        <f t="shared" si="4"/>
        <v>404.40000000000003</v>
      </c>
    </row>
    <row r="12" spans="1:7" x14ac:dyDescent="0.25">
      <c r="D12">
        <v>8</v>
      </c>
      <c r="E12" s="81">
        <f t="shared" si="3"/>
        <v>857.73036911552231</v>
      </c>
      <c r="F12" s="81">
        <f t="shared" si="0"/>
        <v>60.041125838086565</v>
      </c>
      <c r="G12" s="81">
        <f t="shared" si="4"/>
        <v>404.40000000000003</v>
      </c>
    </row>
    <row r="13" spans="1:7" x14ac:dyDescent="0.25">
      <c r="D13">
        <v>9</v>
      </c>
      <c r="E13" s="81">
        <f t="shared" si="3"/>
        <v>513.37149495360882</v>
      </c>
      <c r="F13" s="81">
        <f t="shared" si="0"/>
        <v>35.936004646752622</v>
      </c>
      <c r="G13" s="81">
        <f t="shared" si="4"/>
        <v>404.40000000000003</v>
      </c>
    </row>
    <row r="14" spans="1:7" x14ac:dyDescent="0.25">
      <c r="D14">
        <v>10</v>
      </c>
      <c r="E14" s="81">
        <f t="shared" si="3"/>
        <v>144.9074996003614</v>
      </c>
      <c r="F14" s="81">
        <f t="shared" si="0"/>
        <v>10.143524972025299</v>
      </c>
      <c r="G14" s="81">
        <f t="shared" si="4"/>
        <v>404.40000000000003</v>
      </c>
    </row>
    <row r="15" spans="1:7" x14ac:dyDescent="0.25">
      <c r="D15">
        <v>11</v>
      </c>
      <c r="E15" s="81">
        <f t="shared" si="3"/>
        <v>-249.34897542761334</v>
      </c>
      <c r="F15" s="81">
        <f t="shared" si="0"/>
        <v>-17.454428279932934</v>
      </c>
      <c r="G15" s="81">
        <f t="shared" si="4"/>
        <v>404.40000000000003</v>
      </c>
    </row>
    <row r="16" spans="1:7" x14ac:dyDescent="0.25">
      <c r="D16">
        <v>12</v>
      </c>
      <c r="E16" s="81">
        <f t="shared" si="3"/>
        <v>-671.20340370754639</v>
      </c>
      <c r="F16" s="81">
        <f t="shared" si="0"/>
        <v>-46.984238259528254</v>
      </c>
      <c r="G16" s="81">
        <f t="shared" si="4"/>
        <v>404.40000000000003</v>
      </c>
    </row>
    <row r="17" spans="4:7" x14ac:dyDescent="0.25">
      <c r="D17">
        <v>13</v>
      </c>
      <c r="E17" s="81">
        <f t="shared" si="3"/>
        <v>-1122.5876419670747</v>
      </c>
      <c r="F17" s="81">
        <f t="shared" si="0"/>
        <v>-78.581134937695239</v>
      </c>
      <c r="G17" s="81">
        <f t="shared" si="4"/>
        <v>404.40000000000003</v>
      </c>
    </row>
    <row r="18" spans="4:7" x14ac:dyDescent="0.25">
      <c r="D18">
        <v>14</v>
      </c>
      <c r="E18" s="81">
        <f t="shared" si="3"/>
        <v>-1605.5687769047699</v>
      </c>
      <c r="F18" s="81">
        <f t="shared" si="0"/>
        <v>-112.38981438333391</v>
      </c>
      <c r="G18" s="81">
        <f t="shared" si="4"/>
        <v>404.40000000000003</v>
      </c>
    </row>
    <row r="19" spans="4:7" x14ac:dyDescent="0.25">
      <c r="D19">
        <v>15</v>
      </c>
      <c r="E19" s="81">
        <f t="shared" si="3"/>
        <v>-2122.358591288104</v>
      </c>
      <c r="F19" s="81">
        <f t="shared" si="0"/>
        <v>-148.56510139016729</v>
      </c>
      <c r="G19" s="81">
        <f t="shared" si="4"/>
        <v>404.40000000000003</v>
      </c>
    </row>
    <row r="20" spans="4:7" x14ac:dyDescent="0.25">
      <c r="D20">
        <v>16</v>
      </c>
      <c r="E20" s="81">
        <f t="shared" si="3"/>
        <v>-2675.3236926782715</v>
      </c>
      <c r="F20" s="81">
        <f t="shared" si="0"/>
        <v>-187.27265848747902</v>
      </c>
      <c r="G20" s="81">
        <f t="shared" si="4"/>
        <v>404.40000000000003</v>
      </c>
    </row>
    <row r="21" spans="4:7" x14ac:dyDescent="0.25">
      <c r="D21">
        <v>17</v>
      </c>
      <c r="E21" s="81">
        <f t="shared" si="3"/>
        <v>-3266.9963511657506</v>
      </c>
      <c r="F21" s="81">
        <f t="shared" si="0"/>
        <v>-228.68974458160255</v>
      </c>
      <c r="G21" s="81">
        <f t="shared" si="4"/>
        <v>404.40000000000003</v>
      </c>
    </row>
    <row r="22" spans="4:7" x14ac:dyDescent="0.25">
      <c r="D22">
        <v>18</v>
      </c>
      <c r="E22" s="81">
        <f t="shared" si="3"/>
        <v>-3900.0860957473533</v>
      </c>
      <c r="F22" s="81">
        <f t="shared" si="0"/>
        <v>-273.00602670231473</v>
      </c>
      <c r="G22" s="81">
        <f t="shared" si="4"/>
        <v>404.40000000000003</v>
      </c>
    </row>
    <row r="23" spans="4:7" x14ac:dyDescent="0.25">
      <c r="D23">
        <v>19</v>
      </c>
      <c r="E23" s="81">
        <f t="shared" si="3"/>
        <v>-4577.4921224496675</v>
      </c>
      <c r="F23" s="81">
        <f t="shared" si="0"/>
        <v>-320.42444857147677</v>
      </c>
      <c r="G23" s="81">
        <f t="shared" si="4"/>
        <v>404.40000000000003</v>
      </c>
    </row>
    <row r="24" spans="4:7" x14ac:dyDescent="0.25">
      <c r="D24">
        <v>20</v>
      </c>
      <c r="E24" s="81">
        <f t="shared" si="3"/>
        <v>-5302.3165710211442</v>
      </c>
      <c r="F24" s="81">
        <f t="shared" si="0"/>
        <v>-371.16215997148015</v>
      </c>
      <c r="G24" s="81">
        <f t="shared" si="4"/>
        <v>404.40000000000003</v>
      </c>
    </row>
    <row r="25" spans="4:7" x14ac:dyDescent="0.25">
      <c r="D25">
        <v>21</v>
      </c>
      <c r="E25" s="81">
        <f t="shared" si="3"/>
        <v>-6077.8787309926238</v>
      </c>
      <c r="F25" s="81">
        <f t="shared" si="0"/>
        <v>-425.45151116948369</v>
      </c>
      <c r="G25" s="81">
        <f t="shared" si="4"/>
        <v>404.40000000000003</v>
      </c>
    </row>
    <row r="26" spans="4:7" x14ac:dyDescent="0.25">
      <c r="D26">
        <v>22</v>
      </c>
      <c r="E26" s="81">
        <f t="shared" si="3"/>
        <v>-6907.7302421621071</v>
      </c>
      <c r="F26" s="81">
        <f t="shared" si="0"/>
        <v>-483.54111695134753</v>
      </c>
      <c r="G26" s="81">
        <f t="shared" si="4"/>
        <v>404.40000000000003</v>
      </c>
    </row>
    <row r="27" spans="4:7" x14ac:dyDescent="0.25">
      <c r="D27">
        <v>23</v>
      </c>
      <c r="E27" s="81">
        <f t="shared" si="3"/>
        <v>-7795.6713591134539</v>
      </c>
      <c r="F27" s="81">
        <f t="shared" si="0"/>
        <v>-545.69699513794183</v>
      </c>
      <c r="G27" s="81">
        <f t="shared" si="4"/>
        <v>404.40000000000003</v>
      </c>
    </row>
    <row r="28" spans="4:7" x14ac:dyDescent="0.25">
      <c r="D28">
        <v>24</v>
      </c>
      <c r="E28" s="81">
        <f t="shared" si="3"/>
        <v>-8745.7683542513951</v>
      </c>
      <c r="F28" s="81">
        <f t="shared" si="0"/>
        <v>-612.20378479759768</v>
      </c>
      <c r="G28" s="81">
        <f t="shared" si="4"/>
        <v>404.40000000000003</v>
      </c>
    </row>
    <row r="29" spans="4:7" x14ac:dyDescent="0.25">
      <c r="D29">
        <v>25</v>
      </c>
      <c r="E29" s="81">
        <f t="shared" si="3"/>
        <v>-9762.3721390489918</v>
      </c>
      <c r="F29" s="81">
        <f t="shared" si="0"/>
        <v>-683.36604973342946</v>
      </c>
      <c r="G29" s="81">
        <f t="shared" si="4"/>
        <v>404.40000000000003</v>
      </c>
    </row>
    <row r="30" spans="4:7" x14ac:dyDescent="0.25">
      <c r="D30">
        <v>26</v>
      </c>
      <c r="E30" s="81">
        <f t="shared" si="3"/>
        <v>-10850.138188782421</v>
      </c>
      <c r="F30" s="81">
        <f t="shared" si="0"/>
        <v>-759.50967321476958</v>
      </c>
      <c r="G30" s="81">
        <f t="shared" si="4"/>
        <v>404.40000000000003</v>
      </c>
    </row>
    <row r="31" spans="4:7" x14ac:dyDescent="0.25">
      <c r="D31">
        <v>27</v>
      </c>
      <c r="E31" s="81">
        <f t="shared" si="3"/>
        <v>-12014.047861997191</v>
      </c>
      <c r="F31" s="81">
        <f t="shared" si="0"/>
        <v>-840.98335033980345</v>
      </c>
      <c r="G31" s="81">
        <f t="shared" si="4"/>
        <v>404.40000000000003</v>
      </c>
    </row>
    <row r="32" spans="4:7" x14ac:dyDescent="0.25">
      <c r="D32">
        <v>28</v>
      </c>
      <c r="E32" s="81">
        <f t="shared" si="3"/>
        <v>-13259.431212336995</v>
      </c>
      <c r="F32" s="81">
        <f t="shared" si="0"/>
        <v>-928.16018486358973</v>
      </c>
      <c r="G32" s="81">
        <f t="shared" si="4"/>
        <v>404.40000000000003</v>
      </c>
    </row>
    <row r="33" spans="4:7" x14ac:dyDescent="0.25">
      <c r="D33">
        <v>29</v>
      </c>
      <c r="E33" s="81">
        <f t="shared" si="3"/>
        <v>-14591.991397200583</v>
      </c>
      <c r="F33" s="81">
        <f t="shared" si="0"/>
        <v>-1021.4393978040409</v>
      </c>
      <c r="G33" s="81">
        <f t="shared" si="4"/>
        <v>404.40000000000003</v>
      </c>
    </row>
    <row r="34" spans="4:7" x14ac:dyDescent="0.25">
      <c r="D34">
        <v>30</v>
      </c>
      <c r="E34" s="81">
        <f t="shared" si="3"/>
        <v>-16017.830795004624</v>
      </c>
      <c r="F34" s="81">
        <f t="shared" si="0"/>
        <v>-1121.2481556503237</v>
      </c>
      <c r="G34" s="81">
        <f t="shared" si="4"/>
        <v>404.40000000000003</v>
      </c>
    </row>
    <row r="35" spans="4:7" x14ac:dyDescent="0.25">
      <c r="D35">
        <v>31</v>
      </c>
      <c r="E35" s="81">
        <f t="shared" si="3"/>
        <v>-17543.47895065495</v>
      </c>
      <c r="F35" s="81">
        <f t="shared" si="0"/>
        <v>-1228.0435265458466</v>
      </c>
      <c r="G35" s="81">
        <f t="shared" si="4"/>
        <v>404.40000000000003</v>
      </c>
    </row>
    <row r="36" spans="4:7" x14ac:dyDescent="0.25">
      <c r="D36">
        <v>32</v>
      </c>
      <c r="E36" s="81">
        <f t="shared" si="3"/>
        <v>-19175.922477200798</v>
      </c>
      <c r="F36" s="81">
        <f t="shared" si="0"/>
        <v>-1342.3145734040561</v>
      </c>
      <c r="G36" s="81">
        <f t="shared" si="4"/>
        <v>404.40000000000003</v>
      </c>
    </row>
    <row r="37" spans="4:7" x14ac:dyDescent="0.25">
      <c r="D37">
        <v>33</v>
      </c>
      <c r="E37" s="81">
        <f t="shared" si="3"/>
        <v>-20922.637050604855</v>
      </c>
      <c r="F37" s="81">
        <f t="shared" si="0"/>
        <v>-1464.5845935423399</v>
      </c>
      <c r="G37" s="81">
        <f t="shared" si="4"/>
        <v>404.40000000000003</v>
      </c>
    </row>
    <row r="38" spans="4:7" x14ac:dyDescent="0.25">
      <c r="D38">
        <v>34</v>
      </c>
      <c r="E38" s="81">
        <f t="shared" si="3"/>
        <v>-22791.621644147195</v>
      </c>
      <c r="F38" s="81">
        <f t="shared" si="0"/>
        <v>-1595.4135150903039</v>
      </c>
      <c r="G38" s="81">
        <f t="shared" si="4"/>
        <v>404.40000000000003</v>
      </c>
    </row>
    <row r="39" spans="4:7" x14ac:dyDescent="0.25">
      <c r="D39">
        <v>35</v>
      </c>
      <c r="E39" s="81">
        <f t="shared" si="3"/>
        <v>-24791.435159237502</v>
      </c>
      <c r="F39" s="81">
        <f t="shared" si="0"/>
        <v>-1735.4004611466253</v>
      </c>
      <c r="G39" s="81">
        <f t="shared" si="4"/>
        <v>404.40000000000003</v>
      </c>
    </row>
    <row r="40" spans="4:7" x14ac:dyDescent="0.25">
      <c r="D40">
        <v>36</v>
      </c>
      <c r="E40" s="81">
        <f t="shared" si="3"/>
        <v>-26931.23562038413</v>
      </c>
      <c r="F40" s="81">
        <f t="shared" si="0"/>
        <v>-1885.1864934268892</v>
      </c>
      <c r="G40" s="81">
        <f t="shared" si="4"/>
        <v>404.40000000000003</v>
      </c>
    </row>
    <row r="41" spans="4:7" x14ac:dyDescent="0.25">
      <c r="D41">
        <v>37</v>
      </c>
      <c r="E41" s="81">
        <f t="shared" si="3"/>
        <v>-29220.82211381102</v>
      </c>
      <c r="F41" s="81">
        <f t="shared" si="0"/>
        <v>-2045.4575479667717</v>
      </c>
      <c r="G41" s="81">
        <f t="shared" si="4"/>
        <v>404.40000000000003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Wirtschaftlichkeit &amp; Klima</vt:lpstr>
      <vt:lpstr>Eigenverbrauchsquote</vt:lpstr>
      <vt:lpstr>Hinweise</vt:lpstr>
      <vt:lpstr>Einspeisevergütung</vt:lpstr>
      <vt:lpstr>Rendite</vt:lpstr>
      <vt:lpstr>Tilgung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Rivoir</dc:creator>
  <cp:lastModifiedBy>Jochen Rivoir</cp:lastModifiedBy>
  <dcterms:created xsi:type="dcterms:W3CDTF">2015-06-05T18:17:20Z</dcterms:created>
  <dcterms:modified xsi:type="dcterms:W3CDTF">2024-10-28T17:28:28Z</dcterms:modified>
</cp:coreProperties>
</file>