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rivo\Documents\Ehrenamt\PV\StadtWerk\"/>
    </mc:Choice>
  </mc:AlternateContent>
  <xr:revisionPtr revIDLastSave="0" documentId="13_ncr:1_{73C7DFEA-5BD9-4C66-BA8B-290573A55F28}" xr6:coauthVersionLast="47" xr6:coauthVersionMax="47" xr10:uidLastSave="{00000000-0000-0000-0000-000000000000}"/>
  <bookViews>
    <workbookView xWindow="4530" yWindow="855" windowWidth="20505" windowHeight="13140" xr2:uid="{00000000-000D-0000-FFFF-FFFF00000000}"/>
  </bookViews>
  <sheets>
    <sheet name="Wirtschaftlichkeit &amp; Klima" sheetId="2" r:id="rId1"/>
    <sheet name="Hinweise" sheetId="3" r:id="rId2"/>
    <sheet name="Einspeisevergütung" sheetId="4" r:id="rId3"/>
    <sheet name="Rendite" sheetId="5" r:id="rId4"/>
    <sheet name="Tilgung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" l="1"/>
  <c r="H61" i="2" l="1"/>
  <c r="H44" i="2"/>
  <c r="H19" i="2"/>
  <c r="H20" i="2" s="1"/>
  <c r="H14" i="2"/>
  <c r="H13" i="2"/>
  <c r="I61" i="2"/>
  <c r="I44" i="2"/>
  <c r="I19" i="2"/>
  <c r="I20" i="2" s="1"/>
  <c r="I14" i="2"/>
  <c r="I13" i="2"/>
  <c r="F44" i="2"/>
  <c r="E44" i="2"/>
  <c r="G44" i="2"/>
  <c r="B8" i="6"/>
  <c r="G15" i="6" s="1"/>
  <c r="B9" i="6"/>
  <c r="E4" i="6"/>
  <c r="F4" i="6" s="1"/>
  <c r="E61" i="2"/>
  <c r="F61" i="2"/>
  <c r="G61" i="2"/>
  <c r="C63" i="2"/>
  <c r="F19" i="2"/>
  <c r="F20" i="2" s="1"/>
  <c r="F29" i="2" s="1"/>
  <c r="F14" i="2"/>
  <c r="F13" i="2"/>
  <c r="B8" i="5"/>
  <c r="H8" i="5" s="1"/>
  <c r="F5" i="5"/>
  <c r="G5" i="5" s="1"/>
  <c r="I15" i="2" l="1"/>
  <c r="I55" i="2" s="1"/>
  <c r="I56" i="2" s="1"/>
  <c r="H15" i="2"/>
  <c r="H46" i="2" s="1"/>
  <c r="H26" i="2"/>
  <c r="H31" i="2" s="1"/>
  <c r="H38" i="2" s="1"/>
  <c r="H29" i="2"/>
  <c r="H60" i="2"/>
  <c r="I26" i="2"/>
  <c r="I31" i="2" s="1"/>
  <c r="I38" i="2" s="1"/>
  <c r="I60" i="2"/>
  <c r="I29" i="2"/>
  <c r="F60" i="2"/>
  <c r="F66" i="2" s="1"/>
  <c r="G38" i="6"/>
  <c r="G30" i="6"/>
  <c r="G22" i="6"/>
  <c r="G14" i="6"/>
  <c r="G4" i="6"/>
  <c r="G37" i="6"/>
  <c r="G29" i="6"/>
  <c r="G21" i="6"/>
  <c r="G13" i="6"/>
  <c r="G7" i="6"/>
  <c r="G20" i="6"/>
  <c r="G35" i="6"/>
  <c r="G11" i="6"/>
  <c r="G5" i="6"/>
  <c r="G34" i="6"/>
  <c r="G26" i="6"/>
  <c r="G18" i="6"/>
  <c r="G10" i="6"/>
  <c r="G28" i="6"/>
  <c r="G6" i="6"/>
  <c r="G19" i="6"/>
  <c r="G41" i="6"/>
  <c r="G33" i="6"/>
  <c r="G25" i="6"/>
  <c r="G17" i="6"/>
  <c r="G9" i="6"/>
  <c r="G36" i="6"/>
  <c r="G12" i="6"/>
  <c r="G27" i="6"/>
  <c r="G40" i="6"/>
  <c r="G32" i="6"/>
  <c r="G24" i="6"/>
  <c r="G16" i="6"/>
  <c r="G8" i="6"/>
  <c r="G39" i="6"/>
  <c r="G31" i="6"/>
  <c r="G23" i="6"/>
  <c r="E5" i="6"/>
  <c r="F5" i="6" s="1"/>
  <c r="F15" i="2"/>
  <c r="F26" i="2"/>
  <c r="F30" i="2" s="1"/>
  <c r="H22" i="5"/>
  <c r="H23" i="5"/>
  <c r="H15" i="5"/>
  <c r="H14" i="5"/>
  <c r="H7" i="5"/>
  <c r="H6" i="5"/>
  <c r="H21" i="5"/>
  <c r="H13" i="5"/>
  <c r="H20" i="5"/>
  <c r="H12" i="5"/>
  <c r="H5" i="5"/>
  <c r="F6" i="5" s="1"/>
  <c r="G6" i="5" s="1"/>
  <c r="H17" i="5"/>
  <c r="H9" i="5"/>
  <c r="H19" i="5"/>
  <c r="H11" i="5"/>
  <c r="H18" i="5"/>
  <c r="H10" i="5"/>
  <c r="H24" i="5"/>
  <c r="H16" i="5"/>
  <c r="H55" i="2" l="1"/>
  <c r="H56" i="2" s="1"/>
  <c r="I46" i="2"/>
  <c r="H28" i="2"/>
  <c r="H34" i="2"/>
  <c r="H36" i="2" s="1"/>
  <c r="H30" i="2"/>
  <c r="H66" i="2"/>
  <c r="H62" i="2"/>
  <c r="F62" i="2"/>
  <c r="F65" i="2" s="1"/>
  <c r="I66" i="2"/>
  <c r="I62" i="2"/>
  <c r="I28" i="2"/>
  <c r="I34" i="2"/>
  <c r="I36" i="2" s="1"/>
  <c r="I30" i="2"/>
  <c r="E6" i="6"/>
  <c r="F6" i="6" s="1"/>
  <c r="F55" i="2"/>
  <c r="F56" i="2" s="1"/>
  <c r="F31" i="2"/>
  <c r="F38" i="2" s="1"/>
  <c r="F28" i="2"/>
  <c r="F46" i="2"/>
  <c r="F34" i="2"/>
  <c r="F36" i="2" s="1"/>
  <c r="F7" i="5"/>
  <c r="G7" i="5" s="1"/>
  <c r="F63" i="2" l="1"/>
  <c r="F64" i="2" s="1"/>
  <c r="H65" i="2"/>
  <c r="H63" i="2"/>
  <c r="H64" i="2" s="1"/>
  <c r="I65" i="2"/>
  <c r="I63" i="2"/>
  <c r="I64" i="2" s="1"/>
  <c r="E7" i="6"/>
  <c r="F8" i="5"/>
  <c r="G8" i="5" s="1"/>
  <c r="F7" i="6" l="1"/>
  <c r="E8" i="6" s="1"/>
  <c r="F9" i="5"/>
  <c r="G9" i="5" s="1"/>
  <c r="F8" i="6" l="1"/>
  <c r="E9" i="6" s="1"/>
  <c r="F10" i="5"/>
  <c r="G10" i="5" s="1"/>
  <c r="F9" i="6" l="1"/>
  <c r="E10" i="6" s="1"/>
  <c r="F10" i="6" s="1"/>
  <c r="E11" i="6" s="1"/>
  <c r="F11" i="5"/>
  <c r="G11" i="5" s="1"/>
  <c r="F11" i="6" l="1"/>
  <c r="E12" i="6" s="1"/>
  <c r="F12" i="6" s="1"/>
  <c r="E13" i="6" s="1"/>
  <c r="F13" i="6" s="1"/>
  <c r="E14" i="6" s="1"/>
  <c r="F12" i="5"/>
  <c r="G12" i="5" s="1"/>
  <c r="F14" i="6" l="1"/>
  <c r="E15" i="6" s="1"/>
  <c r="F15" i="6" s="1"/>
  <c r="E16" i="6" s="1"/>
  <c r="F13" i="5"/>
  <c r="G13" i="5" s="1"/>
  <c r="F16" i="6" l="1"/>
  <c r="E17" i="6" s="1"/>
  <c r="F14" i="5"/>
  <c r="G14" i="5" s="1"/>
  <c r="F17" i="6" l="1"/>
  <c r="E18" i="6" s="1"/>
  <c r="F15" i="5"/>
  <c r="G15" i="5" s="1"/>
  <c r="F18" i="6" l="1"/>
  <c r="E19" i="6" s="1"/>
  <c r="F16" i="5"/>
  <c r="G16" i="5" s="1"/>
  <c r="F19" i="6" l="1"/>
  <c r="E20" i="6"/>
  <c r="F17" i="5"/>
  <c r="G17" i="5" s="1"/>
  <c r="F20" i="6" l="1"/>
  <c r="E21" i="6" s="1"/>
  <c r="F18" i="5"/>
  <c r="G18" i="5" s="1"/>
  <c r="F21" i="6" l="1"/>
  <c r="E22" i="6" s="1"/>
  <c r="F19" i="5"/>
  <c r="G19" i="5" s="1"/>
  <c r="F22" i="6" l="1"/>
  <c r="E23" i="6" s="1"/>
  <c r="F20" i="5"/>
  <c r="G20" i="5" s="1"/>
  <c r="F23" i="6" l="1"/>
  <c r="E24" i="6" s="1"/>
  <c r="F21" i="5"/>
  <c r="G21" i="5" s="1"/>
  <c r="F24" i="6" l="1"/>
  <c r="E25" i="6" s="1"/>
  <c r="F22" i="5"/>
  <c r="G22" i="5" s="1"/>
  <c r="F25" i="6" l="1"/>
  <c r="E26" i="6" s="1"/>
  <c r="F23" i="5"/>
  <c r="G23" i="5" s="1"/>
  <c r="E19" i="2"/>
  <c r="G19" i="2"/>
  <c r="D8" i="2"/>
  <c r="D6" i="4"/>
  <c r="C6" i="4"/>
  <c r="B6" i="4"/>
  <c r="D5" i="4"/>
  <c r="C5" i="4"/>
  <c r="B5" i="4"/>
  <c r="C8" i="4"/>
  <c r="C9" i="4" s="1"/>
  <c r="A12" i="4" l="1"/>
  <c r="G9" i="4"/>
  <c r="F26" i="6"/>
  <c r="E27" i="6" s="1"/>
  <c r="F24" i="5"/>
  <c r="G24" i="5" s="1"/>
  <c r="E14" i="2"/>
  <c r="F27" i="6" l="1"/>
  <c r="E28" i="6" s="1"/>
  <c r="F25" i="5"/>
  <c r="C14" i="4"/>
  <c r="D14" i="4"/>
  <c r="B14" i="4"/>
  <c r="B13" i="4"/>
  <c r="D13" i="4"/>
  <c r="C13" i="4"/>
  <c r="E13" i="2"/>
  <c r="E15" i="2" s="1"/>
  <c r="E20" i="2"/>
  <c r="E60" i="2" s="1"/>
  <c r="G20" i="2"/>
  <c r="G13" i="2"/>
  <c r="G14" i="2"/>
  <c r="F28" i="6" l="1"/>
  <c r="E29" i="6" s="1"/>
  <c r="E55" i="2"/>
  <c r="E56" i="2" s="1"/>
  <c r="E66" i="2"/>
  <c r="E62" i="2"/>
  <c r="G29" i="2"/>
  <c r="G60" i="2"/>
  <c r="E29" i="2"/>
  <c r="G26" i="2"/>
  <c r="G30" i="2" s="1"/>
  <c r="E46" i="2"/>
  <c r="E26" i="2"/>
  <c r="G15" i="2"/>
  <c r="G55" i="2" s="1"/>
  <c r="G56" i="2" s="1"/>
  <c r="B20" i="4"/>
  <c r="C20" i="4"/>
  <c r="D20" i="4"/>
  <c r="B21" i="4"/>
  <c r="C21" i="4"/>
  <c r="D21" i="4"/>
  <c r="B22" i="4"/>
  <c r="C22" i="4"/>
  <c r="D22" i="4"/>
  <c r="B23" i="4"/>
  <c r="C23" i="4"/>
  <c r="D23" i="4"/>
  <c r="G23" i="4" s="1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G31" i="4" s="1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G39" i="4" s="1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G47" i="4" s="1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G55" i="4" s="1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G63" i="4" s="1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69" i="4"/>
  <c r="C69" i="4"/>
  <c r="D69" i="4"/>
  <c r="B70" i="4"/>
  <c r="C70" i="4"/>
  <c r="D70" i="4"/>
  <c r="B71" i="4"/>
  <c r="C71" i="4"/>
  <c r="D71" i="4"/>
  <c r="G71" i="4" s="1"/>
  <c r="B72" i="4"/>
  <c r="C72" i="4"/>
  <c r="D72" i="4"/>
  <c r="B73" i="4"/>
  <c r="C73" i="4"/>
  <c r="D73" i="4"/>
  <c r="B74" i="4"/>
  <c r="C74" i="4"/>
  <c r="D74" i="4"/>
  <c r="B75" i="4"/>
  <c r="C75" i="4"/>
  <c r="D75" i="4"/>
  <c r="B76" i="4"/>
  <c r="C76" i="4"/>
  <c r="D76" i="4"/>
  <c r="B77" i="4"/>
  <c r="C77" i="4"/>
  <c r="D77" i="4"/>
  <c r="B78" i="4"/>
  <c r="C78" i="4"/>
  <c r="D78" i="4"/>
  <c r="B79" i="4"/>
  <c r="C79" i="4"/>
  <c r="D79" i="4"/>
  <c r="G79" i="4" s="1"/>
  <c r="B80" i="4"/>
  <c r="C80" i="4"/>
  <c r="D80" i="4"/>
  <c r="B81" i="4"/>
  <c r="C81" i="4"/>
  <c r="D81" i="4"/>
  <c r="B82" i="4"/>
  <c r="C82" i="4"/>
  <c r="D82" i="4"/>
  <c r="B83" i="4"/>
  <c r="C83" i="4"/>
  <c r="D83" i="4"/>
  <c r="B84" i="4"/>
  <c r="C84" i="4"/>
  <c r="D84" i="4"/>
  <c r="B85" i="4"/>
  <c r="C85" i="4"/>
  <c r="D85" i="4"/>
  <c r="B86" i="4"/>
  <c r="C86" i="4"/>
  <c r="D86" i="4"/>
  <c r="B87" i="4"/>
  <c r="C87" i="4"/>
  <c r="D87" i="4"/>
  <c r="G87" i="4" s="1"/>
  <c r="B88" i="4"/>
  <c r="C88" i="4"/>
  <c r="D88" i="4"/>
  <c r="B89" i="4"/>
  <c r="C89" i="4"/>
  <c r="D89" i="4"/>
  <c r="B90" i="4"/>
  <c r="C90" i="4"/>
  <c r="D90" i="4"/>
  <c r="B91" i="4"/>
  <c r="C91" i="4"/>
  <c r="D91" i="4"/>
  <c r="B92" i="4"/>
  <c r="C92" i="4"/>
  <c r="D92" i="4"/>
  <c r="B93" i="4"/>
  <c r="C93" i="4"/>
  <c r="D93" i="4"/>
  <c r="B94" i="4"/>
  <c r="C94" i="4"/>
  <c r="D94" i="4"/>
  <c r="B95" i="4"/>
  <c r="C95" i="4"/>
  <c r="D95" i="4"/>
  <c r="G95" i="4" s="1"/>
  <c r="B96" i="4"/>
  <c r="C96" i="4"/>
  <c r="D96" i="4"/>
  <c r="B97" i="4"/>
  <c r="C97" i="4"/>
  <c r="D97" i="4"/>
  <c r="B98" i="4"/>
  <c r="C98" i="4"/>
  <c r="D98" i="4"/>
  <c r="B99" i="4"/>
  <c r="C99" i="4"/>
  <c r="D99" i="4"/>
  <c r="B100" i="4"/>
  <c r="C100" i="4"/>
  <c r="D100" i="4"/>
  <c r="B101" i="4"/>
  <c r="C101" i="4"/>
  <c r="D101" i="4"/>
  <c r="B102" i="4"/>
  <c r="C102" i="4"/>
  <c r="D102" i="4"/>
  <c r="B103" i="4"/>
  <c r="C103" i="4"/>
  <c r="D103" i="4"/>
  <c r="G103" i="4" s="1"/>
  <c r="B104" i="4"/>
  <c r="C104" i="4"/>
  <c r="D104" i="4"/>
  <c r="B105" i="4"/>
  <c r="C105" i="4"/>
  <c r="D105" i="4"/>
  <c r="B106" i="4"/>
  <c r="C106" i="4"/>
  <c r="D106" i="4"/>
  <c r="B107" i="4"/>
  <c r="C107" i="4"/>
  <c r="D107" i="4"/>
  <c r="B108" i="4"/>
  <c r="C108" i="4"/>
  <c r="D108" i="4"/>
  <c r="B109" i="4"/>
  <c r="C109" i="4"/>
  <c r="D109" i="4"/>
  <c r="B110" i="4"/>
  <c r="C110" i="4"/>
  <c r="D110" i="4"/>
  <c r="B111" i="4"/>
  <c r="C111" i="4"/>
  <c r="D111" i="4"/>
  <c r="G111" i="4" s="1"/>
  <c r="B112" i="4"/>
  <c r="C112" i="4"/>
  <c r="D112" i="4"/>
  <c r="B113" i="4"/>
  <c r="C113" i="4"/>
  <c r="D113" i="4"/>
  <c r="B114" i="4"/>
  <c r="C114" i="4"/>
  <c r="D114" i="4"/>
  <c r="B115" i="4"/>
  <c r="C115" i="4"/>
  <c r="D115" i="4"/>
  <c r="B116" i="4"/>
  <c r="C116" i="4"/>
  <c r="D116" i="4"/>
  <c r="B117" i="4"/>
  <c r="C117" i="4"/>
  <c r="D117" i="4"/>
  <c r="B118" i="4"/>
  <c r="C118" i="4"/>
  <c r="D118" i="4"/>
  <c r="D19" i="4"/>
  <c r="C19" i="4"/>
  <c r="B19" i="4"/>
  <c r="F19" i="4" s="1"/>
  <c r="C17" i="4"/>
  <c r="D17" i="4"/>
  <c r="B17" i="4"/>
  <c r="F29" i="6" l="1"/>
  <c r="E30" i="6" s="1"/>
  <c r="G66" i="2"/>
  <c r="G62" i="2"/>
  <c r="E65" i="2"/>
  <c r="E63" i="2"/>
  <c r="E64" i="2" s="1"/>
  <c r="E28" i="2"/>
  <c r="E30" i="2"/>
  <c r="G28" i="2"/>
  <c r="G31" i="2"/>
  <c r="G38" i="2" s="1"/>
  <c r="G34" i="2"/>
  <c r="G36" i="2" s="1"/>
  <c r="F89" i="4"/>
  <c r="F57" i="4"/>
  <c r="F49" i="4"/>
  <c r="F33" i="4"/>
  <c r="F25" i="4"/>
  <c r="F105" i="4"/>
  <c r="F97" i="4"/>
  <c r="F65" i="4"/>
  <c r="F41" i="4"/>
  <c r="F113" i="4"/>
  <c r="F73" i="4"/>
  <c r="F81" i="4"/>
  <c r="G117" i="4"/>
  <c r="G93" i="4"/>
  <c r="G69" i="4"/>
  <c r="G45" i="4"/>
  <c r="G21" i="4"/>
  <c r="G109" i="4"/>
  <c r="G77" i="4"/>
  <c r="G53" i="4"/>
  <c r="G37" i="4"/>
  <c r="G101" i="4"/>
  <c r="G85" i="4"/>
  <c r="G61" i="4"/>
  <c r="G29" i="4"/>
  <c r="G78" i="4"/>
  <c r="G110" i="4"/>
  <c r="F118" i="4"/>
  <c r="F102" i="4"/>
  <c r="F94" i="4"/>
  <c r="F86" i="4"/>
  <c r="F70" i="4"/>
  <c r="F62" i="4"/>
  <c r="F46" i="4"/>
  <c r="F30" i="4"/>
  <c r="F22" i="4"/>
  <c r="G113" i="4"/>
  <c r="G81" i="4"/>
  <c r="G49" i="4"/>
  <c r="F117" i="4"/>
  <c r="G115" i="4"/>
  <c r="F109" i="4"/>
  <c r="G107" i="4"/>
  <c r="F101" i="4"/>
  <c r="G99" i="4"/>
  <c r="F93" i="4"/>
  <c r="F91" i="4"/>
  <c r="F85" i="4"/>
  <c r="G83" i="4"/>
  <c r="F77" i="4"/>
  <c r="H39" i="2" s="1"/>
  <c r="H40" i="2" s="1"/>
  <c r="H48" i="2" s="1"/>
  <c r="G75" i="4"/>
  <c r="F69" i="4"/>
  <c r="G67" i="4"/>
  <c r="F61" i="4"/>
  <c r="G59" i="4"/>
  <c r="F53" i="4"/>
  <c r="F51" i="4"/>
  <c r="F45" i="4"/>
  <c r="G43" i="4"/>
  <c r="F37" i="4"/>
  <c r="G35" i="4"/>
  <c r="F29" i="4"/>
  <c r="G27" i="4"/>
  <c r="F21" i="4"/>
  <c r="G46" i="4"/>
  <c r="F110" i="4"/>
  <c r="F78" i="4"/>
  <c r="F54" i="4"/>
  <c r="F38" i="4"/>
  <c r="F112" i="4"/>
  <c r="F104" i="4"/>
  <c r="F96" i="4"/>
  <c r="F88" i="4"/>
  <c r="F80" i="4"/>
  <c r="F72" i="4"/>
  <c r="F64" i="4"/>
  <c r="F56" i="4"/>
  <c r="F48" i="4"/>
  <c r="F40" i="4"/>
  <c r="F32" i="4"/>
  <c r="F24" i="4"/>
  <c r="G105" i="4"/>
  <c r="G73" i="4"/>
  <c r="G41" i="4"/>
  <c r="G102" i="4"/>
  <c r="G70" i="4"/>
  <c r="G38" i="4"/>
  <c r="F116" i="4"/>
  <c r="G114" i="4"/>
  <c r="F108" i="4"/>
  <c r="G106" i="4"/>
  <c r="F100" i="4"/>
  <c r="G98" i="4"/>
  <c r="F92" i="4"/>
  <c r="G90" i="4"/>
  <c r="F84" i="4"/>
  <c r="G82" i="4"/>
  <c r="F76" i="4"/>
  <c r="G74" i="4"/>
  <c r="F68" i="4"/>
  <c r="G66" i="4"/>
  <c r="F60" i="4"/>
  <c r="G58" i="4"/>
  <c r="F52" i="4"/>
  <c r="G50" i="4"/>
  <c r="F44" i="4"/>
  <c r="G42" i="4"/>
  <c r="F36" i="4"/>
  <c r="G34" i="4"/>
  <c r="F28" i="4"/>
  <c r="G26" i="4"/>
  <c r="F20" i="4"/>
  <c r="G97" i="4"/>
  <c r="G65" i="4"/>
  <c r="G33" i="4"/>
  <c r="G94" i="4"/>
  <c r="G62" i="4"/>
  <c r="G30" i="4"/>
  <c r="F111" i="4"/>
  <c r="F103" i="4"/>
  <c r="F95" i="4"/>
  <c r="F87" i="4"/>
  <c r="F79" i="4"/>
  <c r="F71" i="4"/>
  <c r="F63" i="4"/>
  <c r="F55" i="4"/>
  <c r="F47" i="4"/>
  <c r="F39" i="4"/>
  <c r="F31" i="4"/>
  <c r="F23" i="4"/>
  <c r="G116" i="4"/>
  <c r="G108" i="4"/>
  <c r="G100" i="4"/>
  <c r="G92" i="4"/>
  <c r="G84" i="4"/>
  <c r="G76" i="4"/>
  <c r="G68" i="4"/>
  <c r="G60" i="4"/>
  <c r="G52" i="4"/>
  <c r="G44" i="4"/>
  <c r="G36" i="4"/>
  <c r="G28" i="4"/>
  <c r="G20" i="4"/>
  <c r="G89" i="4"/>
  <c r="G57" i="4"/>
  <c r="G25" i="4"/>
  <c r="G118" i="4"/>
  <c r="G86" i="4"/>
  <c r="G54" i="4"/>
  <c r="G22" i="4"/>
  <c r="E34" i="2"/>
  <c r="E36" i="2" s="1"/>
  <c r="G112" i="4"/>
  <c r="G104" i="4"/>
  <c r="G96" i="4"/>
  <c r="G88" i="4"/>
  <c r="G80" i="4"/>
  <c r="G72" i="4"/>
  <c r="G64" i="4"/>
  <c r="G56" i="4"/>
  <c r="G48" i="4"/>
  <c r="G40" i="4"/>
  <c r="G32" i="4"/>
  <c r="G24" i="4"/>
  <c r="F107" i="4"/>
  <c r="F75" i="4"/>
  <c r="F43" i="4"/>
  <c r="G19" i="4"/>
  <c r="F106" i="4"/>
  <c r="F82" i="4"/>
  <c r="F66" i="4"/>
  <c r="F58" i="4"/>
  <c r="F26" i="4"/>
  <c r="F99" i="4"/>
  <c r="F67" i="4"/>
  <c r="F35" i="4"/>
  <c r="F90" i="4"/>
  <c r="F42" i="4"/>
  <c r="F115" i="4"/>
  <c r="F83" i="4"/>
  <c r="F59" i="4"/>
  <c r="F27" i="4"/>
  <c r="F114" i="4"/>
  <c r="F74" i="4"/>
  <c r="F34" i="4"/>
  <c r="G91" i="4"/>
  <c r="G51" i="4"/>
  <c r="F98" i="4"/>
  <c r="F50" i="4"/>
  <c r="G46" i="2"/>
  <c r="E31" i="2"/>
  <c r="E38" i="2" s="1"/>
  <c r="H49" i="2" l="1"/>
  <c r="H57" i="2" s="1"/>
  <c r="H51" i="2"/>
  <c r="H52" i="2" s="1"/>
  <c r="I39" i="2"/>
  <c r="I40" i="2" s="1"/>
  <c r="I48" i="2" s="1"/>
  <c r="I49" i="2" s="1"/>
  <c r="I57" i="2" s="1"/>
  <c r="F30" i="6"/>
  <c r="E31" i="6" s="1"/>
  <c r="G65" i="2"/>
  <c r="G63" i="2"/>
  <c r="G64" i="2" s="1"/>
  <c r="F39" i="2"/>
  <c r="F40" i="2" s="1"/>
  <c r="F48" i="2" s="1"/>
  <c r="E39" i="2"/>
  <c r="E40" i="2" s="1"/>
  <c r="E48" i="2" s="1"/>
  <c r="G39" i="2"/>
  <c r="G40" i="2" s="1"/>
  <c r="G48" i="2" s="1"/>
  <c r="I51" i="2" l="1"/>
  <c r="I52" i="2" s="1"/>
  <c r="G49" i="2"/>
  <c r="G57" i="2" s="1"/>
  <c r="E49" i="2"/>
  <c r="E57" i="2" s="1"/>
  <c r="F49" i="2"/>
  <c r="F57" i="2" s="1"/>
  <c r="F31" i="6"/>
  <c r="E32" i="6" s="1"/>
  <c r="F51" i="2"/>
  <c r="F52" i="2" s="1"/>
  <c r="G51" i="2"/>
  <c r="G52" i="2" s="1"/>
  <c r="E51" i="2"/>
  <c r="E52" i="2" s="1"/>
  <c r="F32" i="6" l="1"/>
  <c r="E33" i="6" s="1"/>
  <c r="F33" i="6" l="1"/>
  <c r="E34" i="6" s="1"/>
  <c r="F34" i="6" l="1"/>
  <c r="E35" i="6" s="1"/>
  <c r="F35" i="6" l="1"/>
  <c r="E36" i="6" s="1"/>
  <c r="F36" i="6" l="1"/>
  <c r="E37" i="6" s="1"/>
  <c r="F37" i="6" l="1"/>
  <c r="E38" i="6" s="1"/>
  <c r="F38" i="6" l="1"/>
  <c r="E39" i="6"/>
  <c r="F39" i="6" l="1"/>
  <c r="E40" i="6" s="1"/>
  <c r="F40" i="6" l="1"/>
  <c r="E41" i="6" s="1"/>
  <c r="F41" i="6" s="1"/>
</calcChain>
</file>

<file path=xl/sharedStrings.xml><?xml version="1.0" encoding="utf-8"?>
<sst xmlns="http://schemas.openxmlformats.org/spreadsheetml/2006/main" count="213" uniqueCount="155">
  <si>
    <t>kWp</t>
  </si>
  <si>
    <t>Eigenverbrauch</t>
  </si>
  <si>
    <t>Jahre</t>
  </si>
  <si>
    <t>/kWh</t>
  </si>
  <si>
    <t>Amortisationszeit</t>
  </si>
  <si>
    <t>Eingespeister Strom</t>
  </si>
  <si>
    <t>kWh/Jahr</t>
  </si>
  <si>
    <t>/Jahr</t>
  </si>
  <si>
    <t>Volleinspeisung</t>
  </si>
  <si>
    <t>PV Kosten</t>
  </si>
  <si>
    <t>Speicher Kosten</t>
  </si>
  <si>
    <t>Anschaffungskosten</t>
  </si>
  <si>
    <t>Erzeugter PV Strom</t>
  </si>
  <si>
    <t>kWh</t>
  </si>
  <si>
    <t>Nutzen durch Eigenverbrauch</t>
  </si>
  <si>
    <t>Nutzen durch Einspeisung</t>
  </si>
  <si>
    <t>Teileinspeisung</t>
  </si>
  <si>
    <t>Strompreis des Stromanbieters</t>
  </si>
  <si>
    <t>Laufende Kosten (% von Anschaffung)</t>
  </si>
  <si>
    <t>Vermiedene CO2 Emissionen</t>
  </si>
  <si>
    <t>Umweltbundesamt</t>
  </si>
  <si>
    <t>Waldfläche (CO2-äquivalent)</t>
  </si>
  <si>
    <t>Stiftung Unternehmen Wald</t>
  </si>
  <si>
    <t>/kWp</t>
  </si>
  <si>
    <t>PV Kosten + Speicher Kosten</t>
  </si>
  <si>
    <t>PV Nennleistung * Energieertrag * Energieeffizienz</t>
  </si>
  <si>
    <t>Erzeugter Strom - Eigenverbrauch</t>
  </si>
  <si>
    <t>Eigenverbrauch * Strompreis</t>
  </si>
  <si>
    <t>PV Nennleistung</t>
  </si>
  <si>
    <t>Einspeisevergütung pro kWh</t>
  </si>
  <si>
    <t>Einspeisevergütung * Eingespeister Strom</t>
  </si>
  <si>
    <t>Wohnungen</t>
  </si>
  <si>
    <t>Gesamtstromverbrauch * Eigenverbrauchsanteil</t>
  </si>
  <si>
    <t>Anschaffung / Nutzen abzgl. laufende Kosten</t>
  </si>
  <si>
    <t>Fließt in Eigenverbrauchsanteil ein</t>
  </si>
  <si>
    <t>Für weitere Szenarien:</t>
  </si>
  <si>
    <t>Für kollektive Selbstversorgung</t>
  </si>
  <si>
    <t>Eigenverbrauchsanteil anhand von Verbrauch durch Wohnungen und Allgemeinstrom angeben</t>
  </si>
  <si>
    <t>Für Allgemeinstrom Modell</t>
  </si>
  <si>
    <t>Eigenverbrauchsanteil anhand von Verbrauch durch Allgemeinstrom angeben</t>
  </si>
  <si>
    <t>Für Volleinspeisung</t>
  </si>
  <si>
    <t>Eigenverbrauchsanteil auf Null setzen. Einspeisevergütung wird automatisch richtig gewählt.</t>
  </si>
  <si>
    <t>Siehe das Blatt "Hinweise"</t>
  </si>
  <si>
    <t>Spalten einfügen und Nachbarspalte kopieren.</t>
  </si>
  <si>
    <t>Speicherkapazität</t>
  </si>
  <si>
    <t>PV Nennleistung * Kosten pro kWp</t>
  </si>
  <si>
    <t>Speicherkapazität * Kosten pro kWh</t>
  </si>
  <si>
    <t>Strommengen</t>
  </si>
  <si>
    <t>Von oben</t>
  </si>
  <si>
    <t>PV-Anlage</t>
  </si>
  <si>
    <t>Eigenverbrauchsanteil (Ergebnis aus separatem Tool)</t>
  </si>
  <si>
    <t>Maßgeblicher Verbrauch (als Basis für Eigenverbrauch)</t>
  </si>
  <si>
    <t>0 - 10 kWp</t>
  </si>
  <si>
    <t>10 - 40 kWp</t>
  </si>
  <si>
    <t>40 - 100 kWp</t>
  </si>
  <si>
    <t>Vergütung</t>
  </si>
  <si>
    <t>Anteil an PV Nennleistung</t>
  </si>
  <si>
    <t>€/kWh</t>
  </si>
  <si>
    <t>bsw_verguetungssaetze_aktuell.pdf (solarwirtschaft.de)</t>
  </si>
  <si>
    <t>Direktvermarktung</t>
  </si>
  <si>
    <t>Siehe oben</t>
  </si>
  <si>
    <t>Reparaturen, Versicherung, Wartung</t>
  </si>
  <si>
    <t>Je nach PV Nennleistung und Eigenverbrauch von Blatt "Einspeisevergütung"</t>
  </si>
  <si>
    <t>Anzahl Wohnungen</t>
  </si>
  <si>
    <t>Durchschnittlicher CO₂-Fußabdruck pro Kopf in Deutschland | Umweltbundesamt</t>
  </si>
  <si>
    <t>qm Wald/kg CO2/Jahr</t>
  </si>
  <si>
    <t>kg CO2/kWh/Jahr</t>
  </si>
  <si>
    <t>kg CO2/Person/Jahr</t>
  </si>
  <si>
    <t>kWh/100 km</t>
  </si>
  <si>
    <t>Umweltbilanz von Elektrofahrzeugen – Potenziale der Kreislaufwirtschaft - FfE</t>
  </si>
  <si>
    <t>kg CO2/kWh</t>
  </si>
  <si>
    <t>Solarkataster Herrenberg im Gaeu ☀️ Spezifischer Ertrag Photovoltaik Herrenberg im Gaeu (miete-aktuell.de)</t>
  </si>
  <si>
    <t>kWh/Jahr/kWp</t>
  </si>
  <si>
    <t>Ergebnis aus separatem Tool oder Null bei Volleinspeisung</t>
  </si>
  <si>
    <t>Jahren</t>
  </si>
  <si>
    <t>Kollekt. SV</t>
  </si>
  <si>
    <t>Netzbezug</t>
  </si>
  <si>
    <t>(Wohnungen-2) mal Grundgebühr gespart</t>
  </si>
  <si>
    <t>Grundgebühr/Einheit</t>
  </si>
  <si>
    <t>Nutzen durch geteilte Grundgebühr</t>
  </si>
  <si>
    <t>CO2 Belastung durch Speicher (über 20 Jahre)</t>
  </si>
  <si>
    <t>kg CO2/Jahr</t>
  </si>
  <si>
    <t>qm Wald</t>
  </si>
  <si>
    <t>Personen</t>
  </si>
  <si>
    <t>km/Jahr</t>
  </si>
  <si>
    <t>Beitrag zum Klimaschutz</t>
  </si>
  <si>
    <t>Für Fahrt mit E-Auto</t>
  </si>
  <si>
    <t>Vermiedener Pro-Kopf CO2-Fußabdruck</t>
  </si>
  <si>
    <t>Datum der Inbetriebnahme</t>
  </si>
  <si>
    <t>Beeinflusst die Einspeisevergütung</t>
  </si>
  <si>
    <t>Fixe Sätze für Einspeisevergütung</t>
  </si>
  <si>
    <t>Sätze bis</t>
  </si>
  <si>
    <t>Ende Jan 2024</t>
  </si>
  <si>
    <t>Sätze am</t>
  </si>
  <si>
    <t>Mittlere Degradation der PV-Module</t>
  </si>
  <si>
    <t>Gemittelt über 20 Jahre</t>
  </si>
  <si>
    <t>Halbjahre nach</t>
  </si>
  <si>
    <t>Energieertrag (abh. vom Ort, Ausrichtung und Aufstellwinkel)</t>
  </si>
  <si>
    <t>Eingaben</t>
  </si>
  <si>
    <t>Simulation des Geldflusses</t>
  </si>
  <si>
    <t xml:space="preserve">Anschaffungskosten </t>
  </si>
  <si>
    <t>Jahr</t>
  </si>
  <si>
    <t>Kapital</t>
  </si>
  <si>
    <t>Rendite</t>
  </si>
  <si>
    <t>Ertrag</t>
  </si>
  <si>
    <t>Berechnet</t>
  </si>
  <si>
    <t>Ertrag pro Jahr</t>
  </si>
  <si>
    <t>p.a.</t>
  </si>
  <si>
    <t>Zur Überprüfung der Renditeberechnung</t>
  </si>
  <si>
    <t>qm/Fußballfeld</t>
  </si>
  <si>
    <t>Fussballfelder</t>
  </si>
  <si>
    <t>Allgemeinstrom</t>
  </si>
  <si>
    <t>/kWh/Jahr</t>
  </si>
  <si>
    <t>Autarkiegrad</t>
  </si>
  <si>
    <t>Gesamtverbrauch</t>
  </si>
  <si>
    <t>Allgemeinstromverbrauch</t>
  </si>
  <si>
    <t>Eigenverbrauch / Gesamtverbrauch</t>
  </si>
  <si>
    <t>Erzeugter PV Strom / Gesamtverbrauch</t>
  </si>
  <si>
    <t>Eingabefeld</t>
  </si>
  <si>
    <t>Gesamtverbrauch - Eigenverbrauch</t>
  </si>
  <si>
    <t>Zinsen</t>
  </si>
  <si>
    <t>Fall C) Tilgungsdauer eines Kredits</t>
  </si>
  <si>
    <t>Fall A) Einmalige Sonderumlage</t>
  </si>
  <si>
    <t>Fall B) Rücklagenrückführung in</t>
  </si>
  <si>
    <t>Kreditsumme</t>
  </si>
  <si>
    <t>Simulation</t>
  </si>
  <si>
    <t>Kredit</t>
  </si>
  <si>
    <t>Zahlung</t>
  </si>
  <si>
    <t>Jährliche Zahlung</t>
  </si>
  <si>
    <t>Monatliche Zahlung</t>
  </si>
  <si>
    <t>Tilgungsdauer in Jahren</t>
  </si>
  <si>
    <t>Grundgebühr wird aufgeteilt? (0=Nein, 1=Ja)</t>
  </si>
  <si>
    <t>Wirtschaftlichkeit</t>
  </si>
  <si>
    <t>Finanzierung für durchschnittlich große Wohnung</t>
  </si>
  <si>
    <t>Ertrag pro Wohnung</t>
  </si>
  <si>
    <t>/Jahr/Wohnung</t>
  </si>
  <si>
    <t>/Wohnung</t>
  </si>
  <si>
    <t>/Monat/Wohnung</t>
  </si>
  <si>
    <t>Ertrag (Nutzen abzgl. Laufende Kosten)</t>
  </si>
  <si>
    <t>Rendite bei 20 Jahren Nutzungsdauer</t>
  </si>
  <si>
    <t>Äquivalente Verzinsung</t>
  </si>
  <si>
    <t>Tilgung und Zinsen werden mit Ertrag bezahlt</t>
  </si>
  <si>
    <t>Summe Nutzen - Laufende Kosten</t>
  </si>
  <si>
    <t>Verhältnis des erzeugten Stroms zum Gesamtverbrauch</t>
  </si>
  <si>
    <t>Große PV</t>
  </si>
  <si>
    <t>Klein, mit Speicher</t>
  </si>
  <si>
    <t>Klein, ohne Speicher</t>
  </si>
  <si>
    <t>Wohnquartier StadtWerk</t>
  </si>
  <si>
    <t>22.12.2023 Jochen Rivoir</t>
  </si>
  <si>
    <t>Copyright © Jochen Rivoir</t>
  </si>
  <si>
    <t xml:space="preserve">pv@wohnquartier-stadtwerk.de </t>
  </si>
  <si>
    <t>Letzte Version des Wirtschaftlichkeitsrechners unter:</t>
  </si>
  <si>
    <t>https://wohnquartier-stadtwerk.de/pv</t>
  </si>
  <si>
    <t>Sie können diese Tabellenkalkulation anpassen.</t>
  </si>
  <si>
    <t>Dieser Hinweis darf nicht entfernt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</si>
</sst>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\ &quot;€&quot;_-;\-* #,##0\ &quot;€&quot;_-;_-* &quot;-&quot;??\ &quot;€&quot;_-;_-@_-"/>
    <numFmt numFmtId="166" formatCode="_-* #,##0.000\ &quot;€&quot;_-;\-* #,##0.000\ &quot;€&quot;_-;_-* &quot;-&quot;??\ &quot;€&quot;_-;_-@_-"/>
    <numFmt numFmtId="167" formatCode="_-* #,##0.0_-;\-* #,##0.0_-;_-* &quot;-&quot;??_-;_-@_-"/>
    <numFmt numFmtId="168" formatCode="0.0%"/>
    <numFmt numFmtId="169" formatCode="0.0"/>
    <numFmt numFmtId="170" formatCode="_-* #,##0.0000\ &quot;€&quot;_-;\-* #,##0.0000\ &quot;€&quot;_-;_-* &quot;-&quot;???\ &quot;€&quot;_-;_-@_-"/>
    <numFmt numFmtId="171" formatCode="_-* #,##0.000_-;\-* #,##0.000_-;_-* &quot;-&quot;??_-;_-@_-"/>
    <numFmt numFmtId="172" formatCode="[$-407]mmmm\ yy;@"/>
    <numFmt numFmtId="173" formatCode="_-* #,##0\ [$€-407]_-;\-* #,##0\ [$€-407]_-;_-* &quot;-&quot;??\ [$€-407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164" fontId="0" fillId="0" borderId="0" xfId="1" applyNumberFormat="1" applyFont="1"/>
    <xf numFmtId="0" fontId="0" fillId="0" borderId="0" xfId="0" quotePrefix="1"/>
    <xf numFmtId="166" fontId="0" fillId="0" borderId="0" xfId="2" applyNumberFormat="1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44" fontId="0" fillId="0" borderId="0" xfId="2" quotePrefix="1" applyFont="1"/>
    <xf numFmtId="0" fontId="0" fillId="0" borderId="0" xfId="2" applyNumberFormat="1" applyFont="1"/>
    <xf numFmtId="0" fontId="0" fillId="0" borderId="0" xfId="1" applyNumberFormat="1" applyFont="1" applyBorder="1" applyAlignment="1">
      <alignment horizontal="left"/>
    </xf>
    <xf numFmtId="164" fontId="0" fillId="0" borderId="0" xfId="1" applyNumberFormat="1" applyFont="1" applyFill="1" applyBorder="1"/>
    <xf numFmtId="165" fontId="0" fillId="0" borderId="0" xfId="2" applyNumberFormat="1" applyFont="1" applyFill="1" applyBorder="1"/>
    <xf numFmtId="0" fontId="0" fillId="0" borderId="0" xfId="0" applyAlignment="1">
      <alignment horizontal="right"/>
    </xf>
    <xf numFmtId="170" fontId="0" fillId="0" borderId="0" xfId="0" applyNumberFormat="1"/>
    <xf numFmtId="0" fontId="0" fillId="4" borderId="0" xfId="0" applyFill="1"/>
    <xf numFmtId="0" fontId="0" fillId="4" borderId="1" xfId="0" applyFill="1" applyBorder="1"/>
    <xf numFmtId="164" fontId="0" fillId="4" borderId="1" xfId="1" applyNumberFormat="1" applyFont="1" applyFill="1" applyBorder="1"/>
    <xf numFmtId="164" fontId="0" fillId="4" borderId="0" xfId="0" applyNumberFormat="1" applyFill="1"/>
    <xf numFmtId="0" fontId="0" fillId="4" borderId="0" xfId="0" quotePrefix="1" applyFill="1"/>
    <xf numFmtId="165" fontId="0" fillId="4" borderId="0" xfId="0" applyNumberFormat="1" applyFill="1"/>
    <xf numFmtId="0" fontId="8" fillId="0" borderId="0" xfId="0" applyFont="1"/>
    <xf numFmtId="0" fontId="2" fillId="0" borderId="0" xfId="4" applyNumberFormat="1" applyFill="1"/>
    <xf numFmtId="0" fontId="7" fillId="0" borderId="0" xfId="4" applyNumberFormat="1" applyFont="1" applyFill="1"/>
    <xf numFmtId="0" fontId="4" fillId="0" borderId="0" xfId="0" applyFont="1"/>
    <xf numFmtId="164" fontId="4" fillId="0" borderId="0" xfId="1" applyNumberFormat="1" applyFont="1"/>
    <xf numFmtId="0" fontId="4" fillId="0" borderId="0" xfId="1" applyNumberFormat="1" applyFont="1" applyBorder="1" applyAlignment="1">
      <alignment horizontal="left"/>
    </xf>
    <xf numFmtId="169" fontId="0" fillId="0" borderId="0" xfId="0" applyNumberFormat="1"/>
    <xf numFmtId="0" fontId="6" fillId="0" borderId="0" xfId="0" applyFont="1" applyAlignment="1">
      <alignment horizontal="left"/>
    </xf>
    <xf numFmtId="165" fontId="0" fillId="4" borderId="1" xfId="2" applyNumberFormat="1" applyFont="1" applyFill="1" applyBorder="1"/>
    <xf numFmtId="166" fontId="5" fillId="0" borderId="0" xfId="2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2" xfId="0" applyFill="1" applyBorder="1" applyAlignment="1">
      <alignment horizontal="right"/>
    </xf>
    <xf numFmtId="164" fontId="0" fillId="0" borderId="0" xfId="1" applyNumberFormat="1" applyFont="1" applyFill="1"/>
    <xf numFmtId="164" fontId="0" fillId="0" borderId="3" xfId="1" applyNumberFormat="1" applyFont="1" applyFill="1" applyBorder="1"/>
    <xf numFmtId="164" fontId="0" fillId="4" borderId="3" xfId="1" applyNumberFormat="1" applyFont="1" applyFill="1" applyBorder="1" applyAlignment="1">
      <alignment horizontal="right"/>
    </xf>
    <xf numFmtId="164" fontId="0" fillId="4" borderId="4" xfId="1" applyNumberFormat="1" applyFont="1" applyFill="1" applyBorder="1" applyAlignment="1">
      <alignment horizontal="right"/>
    </xf>
    <xf numFmtId="164" fontId="0" fillId="0" borderId="3" xfId="1" applyNumberFormat="1" applyFont="1" applyBorder="1"/>
    <xf numFmtId="0" fontId="0" fillId="4" borderId="0" xfId="0" applyFill="1" applyAlignment="1">
      <alignment horizontal="center"/>
    </xf>
    <xf numFmtId="0" fontId="0" fillId="4" borderId="2" xfId="0" quotePrefix="1" applyFill="1" applyBorder="1" applyAlignment="1">
      <alignment horizontal="right"/>
    </xf>
    <xf numFmtId="0" fontId="2" fillId="0" borderId="0" xfId="4"/>
    <xf numFmtId="166" fontId="0" fillId="4" borderId="0" xfId="2" applyNumberFormat="1" applyFont="1" applyFill="1" applyAlignment="1">
      <alignment horizontal="right"/>
    </xf>
    <xf numFmtId="166" fontId="0" fillId="4" borderId="2" xfId="2" applyNumberFormat="1" applyFont="1" applyFill="1" applyBorder="1" applyAlignment="1">
      <alignment horizontal="right"/>
    </xf>
    <xf numFmtId="166" fontId="2" fillId="0" borderId="0" xfId="2" applyNumberFormat="1" applyFont="1"/>
    <xf numFmtId="0" fontId="0" fillId="0" borderId="0" xfId="0" applyAlignment="1">
      <alignment horizontal="left"/>
    </xf>
    <xf numFmtId="0" fontId="8" fillId="2" borderId="0" xfId="0" applyFont="1" applyFill="1"/>
    <xf numFmtId="167" fontId="8" fillId="2" borderId="0" xfId="1" applyNumberFormat="1" applyFont="1" applyFill="1" applyBorder="1"/>
    <xf numFmtId="0" fontId="0" fillId="0" borderId="0" xfId="0" quotePrefix="1" applyAlignment="1">
      <alignment horizontal="left"/>
    </xf>
    <xf numFmtId="168" fontId="0" fillId="0" borderId="0" xfId="3" applyNumberFormat="1" applyFont="1" applyFill="1"/>
    <xf numFmtId="44" fontId="0" fillId="0" borderId="0" xfId="0" applyNumberFormat="1"/>
    <xf numFmtId="14" fontId="0" fillId="0" borderId="0" xfId="2" applyNumberFormat="1" applyFont="1"/>
    <xf numFmtId="0" fontId="0" fillId="4" borderId="1" xfId="0" quotePrefix="1" applyFill="1" applyBorder="1"/>
    <xf numFmtId="0" fontId="8" fillId="0" borderId="0" xfId="0" applyFont="1" applyAlignment="1">
      <alignment horizontal="center"/>
    </xf>
    <xf numFmtId="0" fontId="0" fillId="0" borderId="5" xfId="0" applyBorder="1"/>
    <xf numFmtId="168" fontId="0" fillId="0" borderId="5" xfId="0" applyNumberFormat="1" applyBorder="1"/>
    <xf numFmtId="0" fontId="0" fillId="0" borderId="5" xfId="0" quotePrefix="1" applyBorder="1"/>
    <xf numFmtId="165" fontId="0" fillId="0" borderId="5" xfId="0" applyNumberFormat="1" applyBorder="1"/>
    <xf numFmtId="43" fontId="0" fillId="0" borderId="0" xfId="1" applyFont="1" applyFill="1" applyBorder="1"/>
    <xf numFmtId="164" fontId="0" fillId="3" borderId="6" xfId="1" applyNumberFormat="1" applyFont="1" applyFill="1" applyBorder="1"/>
    <xf numFmtId="6" fontId="0" fillId="3" borderId="6" xfId="0" applyNumberFormat="1" applyFill="1" applyBorder="1"/>
    <xf numFmtId="10" fontId="0" fillId="3" borderId="6" xfId="0" applyNumberFormat="1" applyFill="1" applyBorder="1"/>
    <xf numFmtId="165" fontId="0" fillId="4" borderId="0" xfId="2" applyNumberFormat="1" applyFont="1" applyFill="1" applyBorder="1"/>
    <xf numFmtId="44" fontId="0" fillId="3" borderId="6" xfId="2" applyFont="1" applyFill="1" applyBorder="1"/>
    <xf numFmtId="165" fontId="0" fillId="3" borderId="6" xfId="2" applyNumberFormat="1" applyFont="1" applyFill="1" applyBorder="1"/>
    <xf numFmtId="43" fontId="0" fillId="3" borderId="6" xfId="1" applyFont="1" applyFill="1" applyBorder="1"/>
    <xf numFmtId="167" fontId="0" fillId="3" borderId="6" xfId="1" applyNumberFormat="1" applyFont="1" applyFill="1" applyBorder="1"/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4" fontId="0" fillId="5" borderId="8" xfId="0" applyNumberFormat="1" applyFill="1" applyBorder="1" applyAlignment="1">
      <alignment horizontal="left"/>
    </xf>
    <xf numFmtId="14" fontId="0" fillId="5" borderId="6" xfId="0" applyNumberFormat="1" applyFill="1" applyBorder="1"/>
    <xf numFmtId="44" fontId="0" fillId="0" borderId="9" xfId="2" quotePrefix="1" applyFont="1" applyBorder="1"/>
    <xf numFmtId="44" fontId="0" fillId="0" borderId="2" xfId="2" applyFont="1" applyFill="1" applyBorder="1"/>
    <xf numFmtId="0" fontId="0" fillId="3" borderId="6" xfId="0" applyFill="1" applyBorder="1"/>
    <xf numFmtId="14" fontId="0" fillId="0" borderId="0" xfId="0" applyNumberFormat="1"/>
    <xf numFmtId="2" fontId="0" fillId="0" borderId="0" xfId="1" applyNumberFormat="1" applyFont="1"/>
    <xf numFmtId="1" fontId="0" fillId="0" borderId="0" xfId="1" applyNumberFormat="1" applyFont="1"/>
    <xf numFmtId="164" fontId="9" fillId="4" borderId="3" xfId="1" applyNumberFormat="1" applyFont="1" applyFill="1" applyBorder="1" applyAlignment="1">
      <alignment horizontal="center"/>
    </xf>
    <xf numFmtId="14" fontId="9" fillId="4" borderId="4" xfId="1" applyNumberFormat="1" applyFont="1" applyFill="1" applyBorder="1" applyAlignment="1">
      <alignment horizontal="center"/>
    </xf>
    <xf numFmtId="172" fontId="0" fillId="0" borderId="0" xfId="0" applyNumberFormat="1"/>
    <xf numFmtId="164" fontId="4" fillId="3" borderId="7" xfId="1" applyNumberFormat="1" applyFont="1" applyFill="1" applyBorder="1"/>
    <xf numFmtId="0" fontId="4" fillId="0" borderId="0" xfId="0" applyFont="1" applyAlignment="1">
      <alignment horizontal="left"/>
    </xf>
    <xf numFmtId="0" fontId="5" fillId="6" borderId="0" xfId="0" applyFont="1" applyFill="1"/>
    <xf numFmtId="1" fontId="0" fillId="5" borderId="0" xfId="1" applyNumberFormat="1" applyFont="1" applyFill="1" applyAlignment="1">
      <alignment horizontal="left"/>
    </xf>
    <xf numFmtId="0" fontId="0" fillId="5" borderId="0" xfId="0" applyFill="1"/>
    <xf numFmtId="165" fontId="0" fillId="0" borderId="0" xfId="2" applyNumberFormat="1" applyFont="1"/>
    <xf numFmtId="1" fontId="9" fillId="0" borderId="0" xfId="1" applyNumberFormat="1" applyFont="1" applyFill="1" applyAlignment="1">
      <alignment horizontal="center"/>
    </xf>
    <xf numFmtId="17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" fontId="0" fillId="0" borderId="0" xfId="1" applyNumberFormat="1" applyFont="1" applyAlignment="1">
      <alignment horizontal="center"/>
    </xf>
    <xf numFmtId="0" fontId="5" fillId="0" borderId="0" xfId="0" applyFont="1"/>
    <xf numFmtId="10" fontId="0" fillId="2" borderId="0" xfId="0" applyNumberFormat="1" applyFill="1"/>
    <xf numFmtId="44" fontId="0" fillId="0" borderId="0" xfId="2" applyFont="1"/>
    <xf numFmtId="9" fontId="0" fillId="0" borderId="0" xfId="3" applyFont="1"/>
    <xf numFmtId="44" fontId="0" fillId="2" borderId="0" xfId="0" applyNumberFormat="1" applyFill="1"/>
    <xf numFmtId="164" fontId="0" fillId="5" borderId="7" xfId="1" applyNumberFormat="1" applyFont="1" applyFill="1" applyBorder="1"/>
    <xf numFmtId="164" fontId="0" fillId="5" borderId="6" xfId="1" applyNumberFormat="1" applyFont="1" applyFill="1" applyBorder="1"/>
    <xf numFmtId="9" fontId="0" fillId="0" borderId="0" xfId="3" applyFont="1" applyFill="1"/>
    <xf numFmtId="10" fontId="8" fillId="0" borderId="0" xfId="3" applyNumberFormat="1" applyFont="1" applyFill="1" applyBorder="1"/>
    <xf numFmtId="165" fontId="6" fillId="0" borderId="0" xfId="2" applyNumberFormat="1" applyFont="1" applyFill="1"/>
    <xf numFmtId="9" fontId="0" fillId="0" borderId="0" xfId="0" applyNumberFormat="1"/>
    <xf numFmtId="0" fontId="9" fillId="5" borderId="0" xfId="0" applyFont="1" applyFill="1"/>
    <xf numFmtId="44" fontId="9" fillId="5" borderId="0" xfId="2" applyFont="1" applyFill="1"/>
    <xf numFmtId="43" fontId="0" fillId="0" borderId="0" xfId="1" applyFont="1"/>
    <xf numFmtId="9" fontId="0" fillId="7" borderId="0" xfId="3" applyFont="1" applyFill="1" applyBorder="1"/>
    <xf numFmtId="9" fontId="0" fillId="7" borderId="0" xfId="3" applyFont="1" applyFill="1"/>
    <xf numFmtId="0" fontId="0" fillId="7" borderId="0" xfId="0" applyFill="1"/>
    <xf numFmtId="164" fontId="0" fillId="7" borderId="0" xfId="3" applyNumberFormat="1" applyFont="1" applyFill="1"/>
    <xf numFmtId="164" fontId="0" fillId="7" borderId="0" xfId="0" applyNumberFormat="1" applyFill="1"/>
    <xf numFmtId="0" fontId="2" fillId="7" borderId="0" xfId="4" applyFill="1"/>
    <xf numFmtId="168" fontId="0" fillId="7" borderId="8" xfId="0" applyNumberFormat="1" applyFill="1" applyBorder="1"/>
    <xf numFmtId="168" fontId="8" fillId="2" borderId="0" xfId="3" applyNumberFormat="1" applyFont="1" applyFill="1" applyBorder="1"/>
    <xf numFmtId="0" fontId="9" fillId="0" borderId="0" xfId="0" applyFont="1"/>
    <xf numFmtId="0" fontId="0" fillId="4" borderId="0" xfId="0" applyFill="1" applyAlignment="1">
      <alignment horizontal="left"/>
    </xf>
    <xf numFmtId="1" fontId="0" fillId="0" borderId="0" xfId="1" quotePrefix="1" applyNumberFormat="1" applyFont="1"/>
    <xf numFmtId="1" fontId="0" fillId="5" borderId="6" xfId="1" applyNumberFormat="1" applyFont="1" applyFill="1" applyBorder="1" applyAlignment="1">
      <alignment horizontal="center"/>
    </xf>
    <xf numFmtId="0" fontId="3" fillId="7" borderId="0" xfId="0" applyFont="1" applyFill="1"/>
    <xf numFmtId="0" fontId="3" fillId="2" borderId="0" xfId="0" applyFont="1" applyFill="1"/>
    <xf numFmtId="0" fontId="3" fillId="8" borderId="0" xfId="0" applyFont="1" applyFill="1"/>
    <xf numFmtId="0" fontId="9" fillId="8" borderId="0" xfId="0" applyFont="1" applyFill="1"/>
    <xf numFmtId="164" fontId="9" fillId="8" borderId="0" xfId="0" applyNumberFormat="1" applyFont="1" applyFill="1"/>
    <xf numFmtId="0" fontId="8" fillId="8" borderId="0" xfId="0" applyFont="1" applyFill="1"/>
    <xf numFmtId="171" fontId="1" fillId="8" borderId="0" xfId="1" applyNumberFormat="1" applyFont="1" applyFill="1"/>
    <xf numFmtId="0" fontId="1" fillId="8" borderId="0" xfId="0" applyFont="1" applyFill="1"/>
    <xf numFmtId="164" fontId="8" fillId="8" borderId="0" xfId="0" applyNumberFormat="1" applyFont="1" applyFill="1"/>
    <xf numFmtId="0" fontId="0" fillId="8" borderId="0" xfId="0" applyFill="1"/>
    <xf numFmtId="43" fontId="1" fillId="8" borderId="0" xfId="1" applyFont="1" applyFill="1"/>
    <xf numFmtId="164" fontId="8" fillId="8" borderId="0" xfId="1" applyNumberFormat="1" applyFont="1" applyFill="1"/>
    <xf numFmtId="167" fontId="8" fillId="8" borderId="0" xfId="1" applyNumberFormat="1" applyFont="1" applyFill="1"/>
    <xf numFmtId="164" fontId="1" fillId="8" borderId="0" xfId="1" applyNumberFormat="1" applyFont="1" applyFill="1"/>
    <xf numFmtId="0" fontId="0" fillId="8" borderId="0" xfId="0" quotePrefix="1" applyFill="1"/>
    <xf numFmtId="0" fontId="10" fillId="9" borderId="0" xfId="0" applyFont="1" applyFill="1"/>
    <xf numFmtId="0" fontId="8" fillId="9" borderId="0" xfId="0" applyFont="1" applyFill="1"/>
    <xf numFmtId="10" fontId="8" fillId="9" borderId="0" xfId="3" applyNumberFormat="1" applyFont="1" applyFill="1" applyBorder="1"/>
    <xf numFmtId="0" fontId="6" fillId="9" borderId="0" xfId="0" applyFont="1" applyFill="1"/>
    <xf numFmtId="0" fontId="6" fillId="9" borderId="0" xfId="2" applyNumberFormat="1" applyFont="1" applyFill="1"/>
    <xf numFmtId="165" fontId="6" fillId="9" borderId="0" xfId="2" applyNumberFormat="1" applyFont="1" applyFill="1"/>
    <xf numFmtId="165" fontId="6" fillId="9" borderId="0" xfId="2" applyNumberFormat="1" applyFont="1" applyFill="1" applyBorder="1"/>
    <xf numFmtId="44" fontId="6" fillId="9" borderId="0" xfId="2" applyFont="1" applyFill="1" applyBorder="1"/>
    <xf numFmtId="0" fontId="6" fillId="9" borderId="0" xfId="0" quotePrefix="1" applyFont="1" applyFill="1"/>
    <xf numFmtId="43" fontId="6" fillId="9" borderId="0" xfId="1" applyFont="1" applyFill="1" applyBorder="1" applyAlignment="1">
      <alignment horizontal="right"/>
    </xf>
    <xf numFmtId="165" fontId="6" fillId="9" borderId="0" xfId="2" quotePrefix="1" applyNumberFormat="1" applyFont="1" applyFill="1"/>
    <xf numFmtId="0" fontId="9" fillId="9" borderId="0" xfId="0" applyFont="1" applyFill="1"/>
    <xf numFmtId="165" fontId="9" fillId="9" borderId="0" xfId="0" applyNumberFormat="1" applyFont="1" applyFill="1"/>
    <xf numFmtId="0" fontId="9" fillId="9" borderId="0" xfId="0" quotePrefix="1" applyFont="1" applyFill="1"/>
    <xf numFmtId="14" fontId="2" fillId="5" borderId="7" xfId="4" applyNumberFormat="1" applyFill="1" applyBorder="1" applyAlignment="1">
      <alignment horizontal="left"/>
    </xf>
    <xf numFmtId="164" fontId="0" fillId="4" borderId="0" xfId="1" applyNumberFormat="1" applyFont="1" applyFill="1" applyBorder="1"/>
    <xf numFmtId="10" fontId="0" fillId="5" borderId="6" xfId="0" applyNumberFormat="1" applyFill="1" applyBorder="1"/>
    <xf numFmtId="0" fontId="6" fillId="5" borderId="6" xfId="0" applyFont="1" applyFill="1" applyBorder="1"/>
    <xf numFmtId="9" fontId="6" fillId="5" borderId="6" xfId="0" applyNumberFormat="1" applyFont="1" applyFill="1" applyBorder="1"/>
    <xf numFmtId="164" fontId="1" fillId="5" borderId="6" xfId="1" applyNumberFormat="1" applyFont="1" applyFill="1" applyBorder="1"/>
    <xf numFmtId="165" fontId="8" fillId="2" borderId="0" xfId="0" applyNumberFormat="1" applyFont="1" applyFill="1"/>
    <xf numFmtId="0" fontId="8" fillId="2" borderId="0" xfId="0" quotePrefix="1" applyFont="1" applyFill="1"/>
    <xf numFmtId="0" fontId="6" fillId="0" borderId="0" xfId="0" quotePrefix="1" applyFont="1"/>
    <xf numFmtId="0" fontId="0" fillId="10" borderId="0" xfId="0" applyFill="1"/>
    <xf numFmtId="0" fontId="2" fillId="10" borderId="0" xfId="4" applyFill="1"/>
    <xf numFmtId="0" fontId="6" fillId="10" borderId="0" xfId="0" applyFont="1" applyFill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0</xdr:rowOff>
    </xdr:from>
    <xdr:to>
      <xdr:col>6</xdr:col>
      <xdr:colOff>1200150</xdr:colOff>
      <xdr:row>1</xdr:row>
      <xdr:rowOff>171450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4B3E5E33-5077-B562-B8A1-DF9FA0B08426}"/>
            </a:ext>
          </a:extLst>
        </xdr:cNvPr>
        <xdr:cNvSpPr/>
      </xdr:nvSpPr>
      <xdr:spPr>
        <a:xfrm>
          <a:off x="8896350" y="0"/>
          <a:ext cx="990600" cy="371475"/>
        </a:xfrm>
        <a:prstGeom prst="downArrow">
          <a:avLst>
            <a:gd name="adj1" fmla="val 69231"/>
            <a:gd name="adj2" fmla="val 4487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38099</xdr:rowOff>
    </xdr:from>
    <xdr:to>
      <xdr:col>2</xdr:col>
      <xdr:colOff>285750</xdr:colOff>
      <xdr:row>18</xdr:row>
      <xdr:rowOff>47624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893160F6-B475-446D-A2F8-5E3CCC7A01CF}"/>
            </a:ext>
          </a:extLst>
        </xdr:cNvPr>
        <xdr:cNvSpPr/>
      </xdr:nvSpPr>
      <xdr:spPr>
        <a:xfrm>
          <a:off x="3705225" y="3086099"/>
          <a:ext cx="1133475" cy="390525"/>
        </a:xfrm>
        <a:prstGeom prst="wedgeRoundRectCallout">
          <a:avLst>
            <a:gd name="adj1" fmla="val 4378"/>
            <a:gd name="adj2" fmla="val -398283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19050</xdr:colOff>
      <xdr:row>15</xdr:row>
      <xdr:rowOff>85725</xdr:rowOff>
    </xdr:from>
    <xdr:to>
      <xdr:col>3</xdr:col>
      <xdr:colOff>0</xdr:colOff>
      <xdr:row>19</xdr:row>
      <xdr:rowOff>9525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88541701-608F-44B0-B51E-8A0813810D03}"/>
            </a:ext>
          </a:extLst>
        </xdr:cNvPr>
        <xdr:cNvSpPr/>
      </xdr:nvSpPr>
      <xdr:spPr>
        <a:xfrm>
          <a:off x="3114675" y="2943225"/>
          <a:ext cx="2047875" cy="685800"/>
        </a:xfrm>
        <a:prstGeom prst="wedgeRoundRectCallout">
          <a:avLst>
            <a:gd name="adj1" fmla="val 112801"/>
            <a:gd name="adj2" fmla="val 200126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Die Rendite so verstellen, dass das Kapital nach 20 Jahren aufgebraucht ist.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ohnquartier-stadtwerk.de/pv" TargetMode="External"/><Relationship Id="rId3" Type="http://schemas.openxmlformats.org/officeDocument/2006/relationships/hyperlink" Target="https://www.umweltbundesamt.de/bild/durchschnittlicher-co2-fussabdruck-pro-kopf-in" TargetMode="External"/><Relationship Id="rId7" Type="http://schemas.openxmlformats.org/officeDocument/2006/relationships/hyperlink" Target="mailto:pv@wohnquartier-stadtwerk.de" TargetMode="External"/><Relationship Id="rId2" Type="http://schemas.openxmlformats.org/officeDocument/2006/relationships/hyperlink" Target="https://www.ffe.de/veroeffentlichungen/umweltbilanz-von-elektrofahrzeugen-potenziale-der-kreislaufwirtschaft/" TargetMode="External"/><Relationship Id="rId1" Type="http://schemas.openxmlformats.org/officeDocument/2006/relationships/hyperlink" Target="https://www.miete-aktuell.de/solarkataster/Herrenberg/Herrenberg/" TargetMode="External"/><Relationship Id="rId6" Type="http://schemas.openxmlformats.org/officeDocument/2006/relationships/hyperlink" Target="https://wohnquartier-stadtwerk.de/bewohnerinnen/" TargetMode="External"/><Relationship Id="rId5" Type="http://schemas.openxmlformats.org/officeDocument/2006/relationships/hyperlink" Target="https://www.umweltbundesamt.de/themen/klima-energie/erneuerbare-energien/photovoltaik" TargetMode="External"/><Relationship Id="rId4" Type="http://schemas.openxmlformats.org/officeDocument/2006/relationships/hyperlink" Target="https://www.wald.de/waldwissen/wie-viel-kohlendioxid-co2-speichert-der-wald-bzw-ein-baum/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olarwirtschaft.de/datawall/uploads/2023/01/bsw_verguetungssaetze_aktuell.pdf" TargetMode="External"/><Relationship Id="rId1" Type="http://schemas.openxmlformats.org/officeDocument/2006/relationships/hyperlink" Target="https://www.solarwirtschaft.de/datawall/uploads/2023/01/bsw_verguetungssaetze_aktuel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AC8A-51DB-44CC-87D2-D10984CED971}">
  <dimension ref="A1:L66"/>
  <sheetViews>
    <sheetView tabSelected="1" zoomScale="85" zoomScaleNormal="85" workbookViewId="0">
      <pane ySplit="4" topLeftCell="A41" activePane="bottomLeft" state="frozen"/>
      <selection pane="bottomLeft" activeCell="H43" sqref="H43"/>
    </sheetView>
  </sheetViews>
  <sheetFormatPr defaultRowHeight="15" x14ac:dyDescent="0.25"/>
  <cols>
    <col min="1" max="1" width="5.28515625" customWidth="1"/>
    <col min="2" max="2" width="42.140625" customWidth="1"/>
    <col min="3" max="9" width="20.7109375" customWidth="1"/>
    <col min="10" max="10" width="19.7109375" customWidth="1"/>
    <col min="11" max="11" width="4.140625" customWidth="1"/>
    <col min="12" max="12" width="47.7109375" customWidth="1"/>
  </cols>
  <sheetData>
    <row r="1" spans="1:12" ht="16.5" thickBot="1" x14ac:dyDescent="0.3">
      <c r="B1" s="72" t="s">
        <v>118</v>
      </c>
      <c r="C1" s="28" t="s">
        <v>42</v>
      </c>
      <c r="L1" s="153" t="s">
        <v>149</v>
      </c>
    </row>
    <row r="2" spans="1:12" ht="15.75" thickBot="1" x14ac:dyDescent="0.3">
      <c r="L2" s="154" t="s">
        <v>150</v>
      </c>
    </row>
    <row r="3" spans="1:12" ht="15.75" x14ac:dyDescent="0.25">
      <c r="B3" s="144" t="s">
        <v>147</v>
      </c>
      <c r="E3" s="66" t="s">
        <v>8</v>
      </c>
      <c r="F3" s="66" t="s">
        <v>111</v>
      </c>
      <c r="G3" s="66" t="s">
        <v>75</v>
      </c>
      <c r="H3" s="66" t="s">
        <v>75</v>
      </c>
      <c r="I3" s="66" t="s">
        <v>75</v>
      </c>
      <c r="L3" s="155" t="s">
        <v>151</v>
      </c>
    </row>
    <row r="4" spans="1:12" ht="16.5" thickBot="1" x14ac:dyDescent="0.3">
      <c r="B4" s="68" t="s">
        <v>148</v>
      </c>
      <c r="E4" s="67" t="s">
        <v>144</v>
      </c>
      <c r="F4" s="67" t="s">
        <v>144</v>
      </c>
      <c r="G4" s="67" t="s">
        <v>144</v>
      </c>
      <c r="H4" s="67" t="s">
        <v>146</v>
      </c>
      <c r="I4" s="67" t="s">
        <v>145</v>
      </c>
      <c r="L4" s="154" t="s">
        <v>152</v>
      </c>
    </row>
    <row r="5" spans="1:12" ht="15.75" x14ac:dyDescent="0.25">
      <c r="E5" s="52"/>
      <c r="F5" s="52"/>
      <c r="G5" s="52"/>
      <c r="H5" s="52"/>
      <c r="I5" s="52"/>
      <c r="L5" s="153" t="s">
        <v>153</v>
      </c>
    </row>
    <row r="6" spans="1:12" ht="15.75" x14ac:dyDescent="0.25">
      <c r="E6" s="52"/>
      <c r="F6" s="52"/>
      <c r="G6" s="52"/>
      <c r="H6" s="52"/>
      <c r="I6" s="52"/>
      <c r="L6" s="153" t="s">
        <v>154</v>
      </c>
    </row>
    <row r="7" spans="1:12" ht="19.5" thickBot="1" x14ac:dyDescent="0.35">
      <c r="A7" s="4" t="s">
        <v>49</v>
      </c>
    </row>
    <row r="8" spans="1:12" ht="15.75" thickBot="1" x14ac:dyDescent="0.3">
      <c r="B8" t="s">
        <v>88</v>
      </c>
      <c r="C8" s="69">
        <v>45068</v>
      </c>
      <c r="D8" t="str">
        <f>IF(ISNUMBER(C8)," ","Keine gültiges Datum")</f>
        <v xml:space="preserve"> </v>
      </c>
      <c r="E8" s="57"/>
      <c r="F8" s="57"/>
      <c r="G8" s="57"/>
      <c r="H8" s="57"/>
      <c r="I8" s="57"/>
      <c r="L8" t="s">
        <v>89</v>
      </c>
    </row>
    <row r="9" spans="1:12" ht="15.75" thickBot="1" x14ac:dyDescent="0.3">
      <c r="B9" t="s">
        <v>28</v>
      </c>
      <c r="C9" s="27"/>
      <c r="E9" s="64">
        <v>95.45</v>
      </c>
      <c r="F9" s="64">
        <v>95.45</v>
      </c>
      <c r="G9" s="64">
        <v>95.45</v>
      </c>
      <c r="H9" s="64">
        <v>59.8</v>
      </c>
      <c r="I9" s="64">
        <v>59.8</v>
      </c>
      <c r="J9" t="s">
        <v>0</v>
      </c>
    </row>
    <row r="10" spans="1:12" ht="15.75" thickBot="1" x14ac:dyDescent="0.3">
      <c r="B10" t="s">
        <v>44</v>
      </c>
      <c r="E10" s="65">
        <v>0</v>
      </c>
      <c r="F10" s="65">
        <v>0</v>
      </c>
      <c r="G10" s="65">
        <v>0</v>
      </c>
      <c r="H10" s="65">
        <v>0</v>
      </c>
      <c r="I10" s="65">
        <v>44</v>
      </c>
      <c r="J10" t="s">
        <v>13</v>
      </c>
    </row>
    <row r="12" spans="1:12" s="4" customFormat="1" ht="19.5" thickBot="1" x14ac:dyDescent="0.35">
      <c r="A12" s="4" t="s">
        <v>11</v>
      </c>
    </row>
    <row r="13" spans="1:12" ht="15.75" thickBot="1" x14ac:dyDescent="0.3">
      <c r="A13" s="2"/>
      <c r="B13" s="47" t="s">
        <v>9</v>
      </c>
      <c r="C13" s="63">
        <f>118357/95.45</f>
        <v>1239.9895233106338</v>
      </c>
      <c r="D13" s="2" t="s">
        <v>23</v>
      </c>
      <c r="E13" s="12">
        <f t="shared" ref="E13:F13" si="0">E9*$C13</f>
        <v>118357</v>
      </c>
      <c r="F13" s="12">
        <f t="shared" si="0"/>
        <v>118357</v>
      </c>
      <c r="G13" s="12">
        <f t="shared" ref="G13:I14" si="1">G9*$C13</f>
        <v>118357</v>
      </c>
      <c r="H13" s="12">
        <f t="shared" si="1"/>
        <v>74151.373493975902</v>
      </c>
      <c r="I13" s="12">
        <f t="shared" si="1"/>
        <v>74151.373493975902</v>
      </c>
      <c r="L13" t="s">
        <v>45</v>
      </c>
    </row>
    <row r="14" spans="1:12" ht="15.75" thickBot="1" x14ac:dyDescent="0.3">
      <c r="A14" s="2"/>
      <c r="B14" s="47" t="s">
        <v>10</v>
      </c>
      <c r="C14" s="63">
        <v>1000</v>
      </c>
      <c r="D14" s="2" t="s">
        <v>3</v>
      </c>
      <c r="E14" s="12">
        <f t="shared" ref="E14:F14" si="2">E10*$C14</f>
        <v>0</v>
      </c>
      <c r="F14" s="12">
        <f t="shared" si="2"/>
        <v>0</v>
      </c>
      <c r="G14" s="12">
        <f t="shared" si="1"/>
        <v>0</v>
      </c>
      <c r="H14" s="12">
        <f t="shared" si="1"/>
        <v>0</v>
      </c>
      <c r="I14" s="12">
        <f t="shared" si="1"/>
        <v>44000</v>
      </c>
      <c r="L14" t="s">
        <v>46</v>
      </c>
    </row>
    <row r="15" spans="1:12" x14ac:dyDescent="0.25">
      <c r="A15" s="2"/>
      <c r="B15" s="16" t="s">
        <v>11</v>
      </c>
      <c r="C15" s="61"/>
      <c r="D15" s="16"/>
      <c r="E15" s="29">
        <f t="shared" ref="E15:F15" si="3">E13+E14</f>
        <v>118357</v>
      </c>
      <c r="F15" s="29">
        <f t="shared" si="3"/>
        <v>118357</v>
      </c>
      <c r="G15" s="29">
        <f>G13+G14</f>
        <v>118357</v>
      </c>
      <c r="H15" s="29">
        <f>H13+H14</f>
        <v>74151.373493975902</v>
      </c>
      <c r="I15" s="29">
        <f>I13+I14</f>
        <v>118151.3734939759</v>
      </c>
      <c r="J15" s="16"/>
      <c r="L15" s="9" t="s">
        <v>24</v>
      </c>
    </row>
    <row r="17" spans="1:12" s="115" customFormat="1" ht="19.5" thickBot="1" x14ac:dyDescent="0.35">
      <c r="A17" s="115" t="s">
        <v>47</v>
      </c>
    </row>
    <row r="18" spans="1:12" ht="15.75" thickBot="1" x14ac:dyDescent="0.3">
      <c r="B18" s="44" t="s">
        <v>97</v>
      </c>
      <c r="E18" s="58">
        <v>1031</v>
      </c>
      <c r="F18" s="58">
        <v>917</v>
      </c>
      <c r="G18" s="58">
        <v>917</v>
      </c>
      <c r="H18" s="58">
        <v>917</v>
      </c>
      <c r="I18" s="58">
        <v>917</v>
      </c>
      <c r="J18" t="s">
        <v>72</v>
      </c>
      <c r="L18" s="40" t="s">
        <v>71</v>
      </c>
    </row>
    <row r="19" spans="1:12" ht="15.75" thickBot="1" x14ac:dyDescent="0.3">
      <c r="B19" s="44" t="s">
        <v>94</v>
      </c>
      <c r="C19" s="146">
        <v>2E-3</v>
      </c>
      <c r="D19" s="2" t="s">
        <v>7</v>
      </c>
      <c r="E19" s="48">
        <f t="shared" ref="E19:F19" si="4">$C19*20/2</f>
        <v>0.02</v>
      </c>
      <c r="F19" s="48">
        <f t="shared" si="4"/>
        <v>0.02</v>
      </c>
      <c r="G19" s="48">
        <f>$C19*20/2</f>
        <v>0.02</v>
      </c>
      <c r="H19" s="48">
        <f>$C19*20/2</f>
        <v>0.02</v>
      </c>
      <c r="I19" s="48">
        <f>$C19*20/2</f>
        <v>0.02</v>
      </c>
      <c r="L19" t="s">
        <v>95</v>
      </c>
    </row>
    <row r="20" spans="1:12" x14ac:dyDescent="0.25">
      <c r="B20" s="16" t="s">
        <v>12</v>
      </c>
      <c r="C20" s="145"/>
      <c r="D20" s="16"/>
      <c r="E20" s="17">
        <f>E9*E18*(1-E19)</f>
        <v>96440.770999999993</v>
      </c>
      <c r="F20" s="17">
        <f>F9*F18*(1-F19)</f>
        <v>85777.097000000009</v>
      </c>
      <c r="G20" s="17">
        <f>G9*G18*(1-G19)</f>
        <v>85777.097000000009</v>
      </c>
      <c r="H20" s="17">
        <f>H9*H18*(1-H19)</f>
        <v>53739.867999999995</v>
      </c>
      <c r="I20" s="17">
        <f>I9*I18*(1-I19)</f>
        <v>53739.867999999995</v>
      </c>
      <c r="J20" s="16" t="s">
        <v>6</v>
      </c>
      <c r="L20" s="10" t="s">
        <v>25</v>
      </c>
    </row>
    <row r="21" spans="1:12" ht="15.75" thickBot="1" x14ac:dyDescent="0.3">
      <c r="C21" s="1"/>
      <c r="E21" s="11"/>
      <c r="F21" s="11"/>
      <c r="G21" s="11"/>
      <c r="H21" s="11"/>
      <c r="I21" s="11"/>
      <c r="L21" s="10"/>
    </row>
    <row r="22" spans="1:12" ht="15.75" thickBot="1" x14ac:dyDescent="0.3">
      <c r="B22" s="44" t="s">
        <v>114</v>
      </c>
      <c r="C22" s="94">
        <v>154000</v>
      </c>
      <c r="D22" t="s">
        <v>6</v>
      </c>
      <c r="E22" s="11"/>
      <c r="F22" s="11"/>
      <c r="G22" s="11"/>
      <c r="H22" s="11"/>
      <c r="I22" s="11"/>
      <c r="L22" s="40"/>
    </row>
    <row r="23" spans="1:12" ht="15.75" thickBot="1" x14ac:dyDescent="0.3">
      <c r="B23" s="44" t="s">
        <v>115</v>
      </c>
      <c r="C23" s="95">
        <v>53000</v>
      </c>
      <c r="D23" t="s">
        <v>6</v>
      </c>
      <c r="E23" s="11"/>
      <c r="F23" s="11"/>
      <c r="G23" s="11"/>
      <c r="H23" s="11"/>
      <c r="I23" s="11"/>
      <c r="L23" s="40"/>
    </row>
    <row r="24" spans="1:12" s="24" customFormat="1" x14ac:dyDescent="0.25">
      <c r="B24" s="80" t="s">
        <v>51</v>
      </c>
      <c r="C24" s="25"/>
      <c r="E24" s="79">
        <v>0</v>
      </c>
      <c r="F24" s="79">
        <v>53000</v>
      </c>
      <c r="G24" s="79">
        <v>154000</v>
      </c>
      <c r="H24" s="79">
        <v>154000</v>
      </c>
      <c r="I24" s="79">
        <v>154000</v>
      </c>
      <c r="J24" s="24" t="s">
        <v>6</v>
      </c>
      <c r="L24" s="26" t="s">
        <v>34</v>
      </c>
    </row>
    <row r="25" spans="1:12" ht="15.75" thickBot="1" x14ac:dyDescent="0.3">
      <c r="B25" s="105" t="s">
        <v>50</v>
      </c>
      <c r="C25" s="108"/>
      <c r="D25" s="105"/>
      <c r="E25" s="109">
        <v>0</v>
      </c>
      <c r="F25" s="109">
        <v>0.222</v>
      </c>
      <c r="G25" s="109">
        <v>0.52700000000000002</v>
      </c>
      <c r="H25" s="109">
        <v>0.71499999999999997</v>
      </c>
      <c r="I25" s="109">
        <v>0.85</v>
      </c>
      <c r="J25" s="105"/>
      <c r="L25" t="s">
        <v>73</v>
      </c>
    </row>
    <row r="26" spans="1:12" x14ac:dyDescent="0.25">
      <c r="B26" s="16" t="s">
        <v>1</v>
      </c>
      <c r="C26" s="16"/>
      <c r="D26" s="16"/>
      <c r="E26" s="18">
        <f>E20*E25</f>
        <v>0</v>
      </c>
      <c r="F26" s="18">
        <f>F20*F25</f>
        <v>19042.515534000002</v>
      </c>
      <c r="G26" s="18">
        <f>G20*G25</f>
        <v>45204.53011900001</v>
      </c>
      <c r="H26" s="18">
        <f>H20*H25</f>
        <v>38424.005619999996</v>
      </c>
      <c r="I26" s="18">
        <f>I20*I25</f>
        <v>45678.887799999997</v>
      </c>
      <c r="J26" s="16" t="s">
        <v>6</v>
      </c>
      <c r="L26" t="s">
        <v>32</v>
      </c>
    </row>
    <row r="27" spans="1:12" x14ac:dyDescent="0.25">
      <c r="E27" s="5"/>
      <c r="F27" s="5"/>
      <c r="G27" s="5"/>
      <c r="H27" s="5"/>
      <c r="I27" s="5"/>
    </row>
    <row r="28" spans="1:12" s="96" customFormat="1" x14ac:dyDescent="0.25">
      <c r="B28" s="103" t="s">
        <v>113</v>
      </c>
      <c r="C28" s="103"/>
      <c r="D28" s="103"/>
      <c r="E28" s="104">
        <f>E26/$C22</f>
        <v>0</v>
      </c>
      <c r="F28" s="104">
        <f>F26/$C22</f>
        <v>0.12365269827272729</v>
      </c>
      <c r="G28" s="104">
        <f>G26/$C22</f>
        <v>0.29353590986363642</v>
      </c>
      <c r="H28" s="104">
        <f>H26/$C22</f>
        <v>0.24950652999999998</v>
      </c>
      <c r="I28" s="104">
        <f>I26/$C22</f>
        <v>0.29661615454545454</v>
      </c>
      <c r="J28" s="103"/>
      <c r="L28" s="96" t="s">
        <v>116</v>
      </c>
    </row>
    <row r="29" spans="1:12" x14ac:dyDescent="0.25">
      <c r="B29" s="105" t="s">
        <v>143</v>
      </c>
      <c r="C29" s="105"/>
      <c r="D29" s="105"/>
      <c r="E29" s="104">
        <f>E20/$C22</f>
        <v>0.62623877272727269</v>
      </c>
      <c r="F29" s="104">
        <f>F20/$C22</f>
        <v>0.55699413636363637</v>
      </c>
      <c r="G29" s="104">
        <f>G20/$C22</f>
        <v>0.55699413636363637</v>
      </c>
      <c r="H29" s="104">
        <f>H20/$C22</f>
        <v>0.34896018181818178</v>
      </c>
      <c r="I29" s="104">
        <f>I20/$C22</f>
        <v>0.34896018181818178</v>
      </c>
      <c r="J29" s="105"/>
      <c r="L29" t="s">
        <v>117</v>
      </c>
    </row>
    <row r="30" spans="1:12" x14ac:dyDescent="0.25">
      <c r="B30" s="105" t="s">
        <v>76</v>
      </c>
      <c r="C30" s="105"/>
      <c r="D30" s="105"/>
      <c r="E30" s="106">
        <f>$C22-E26</f>
        <v>154000</v>
      </c>
      <c r="F30" s="106">
        <f>$C22-F26</f>
        <v>134957.48446599999</v>
      </c>
      <c r="G30" s="106">
        <f>$C22-G26</f>
        <v>108795.469881</v>
      </c>
      <c r="H30" s="106">
        <f>$C22-H26</f>
        <v>115575.99438</v>
      </c>
      <c r="I30" s="106">
        <f>$C22-I26</f>
        <v>108321.1122</v>
      </c>
      <c r="J30" s="105" t="s">
        <v>6</v>
      </c>
      <c r="L30" t="s">
        <v>119</v>
      </c>
    </row>
    <row r="31" spans="1:12" x14ac:dyDescent="0.25">
      <c r="B31" s="105" t="s">
        <v>5</v>
      </c>
      <c r="C31" s="105"/>
      <c r="D31" s="105"/>
      <c r="E31" s="107">
        <f>E20-E26</f>
        <v>96440.770999999993</v>
      </c>
      <c r="F31" s="107">
        <f>F20-F26</f>
        <v>66734.581466000003</v>
      </c>
      <c r="G31" s="107">
        <f>G20-G26</f>
        <v>40572.566880999999</v>
      </c>
      <c r="H31" s="107">
        <f>H20-H26</f>
        <v>15315.862379999999</v>
      </c>
      <c r="I31" s="107">
        <f>I20-I26</f>
        <v>8060.9801999999981</v>
      </c>
      <c r="J31" s="105" t="s">
        <v>6</v>
      </c>
      <c r="L31" t="s">
        <v>26</v>
      </c>
    </row>
    <row r="33" spans="1:12" s="116" customFormat="1" ht="18.75" x14ac:dyDescent="0.3">
      <c r="A33" s="116" t="s">
        <v>132</v>
      </c>
    </row>
    <row r="34" spans="1:12" ht="15.75" thickBot="1" x14ac:dyDescent="0.3">
      <c r="B34" s="44" t="s">
        <v>1</v>
      </c>
      <c r="E34" s="5">
        <f>E26</f>
        <v>0</v>
      </c>
      <c r="F34" s="5">
        <f>F26</f>
        <v>19042.515534000002</v>
      </c>
      <c r="G34" s="5">
        <f>G26</f>
        <v>45204.53011900001</v>
      </c>
      <c r="H34" s="5">
        <f>H26</f>
        <v>38424.005619999996</v>
      </c>
      <c r="I34" s="5">
        <f>I26</f>
        <v>45678.887799999997</v>
      </c>
      <c r="J34" t="s">
        <v>6</v>
      </c>
      <c r="L34" t="s">
        <v>48</v>
      </c>
    </row>
    <row r="35" spans="1:12" ht="15.75" thickBot="1" x14ac:dyDescent="0.3">
      <c r="B35" s="44" t="s">
        <v>17</v>
      </c>
      <c r="C35" s="71"/>
      <c r="D35" s="70"/>
      <c r="E35" s="62">
        <v>0.3</v>
      </c>
      <c r="F35" s="62">
        <v>0.3</v>
      </c>
      <c r="G35" s="62">
        <v>0.3</v>
      </c>
      <c r="H35" s="62">
        <v>0.3</v>
      </c>
      <c r="I35" s="62">
        <v>0.3</v>
      </c>
      <c r="J35" s="8" t="s">
        <v>112</v>
      </c>
      <c r="K35" s="2"/>
    </row>
    <row r="36" spans="1:12" x14ac:dyDescent="0.25">
      <c r="B36" s="16" t="s">
        <v>14</v>
      </c>
      <c r="C36" s="16"/>
      <c r="D36" s="15"/>
      <c r="E36" s="61">
        <f>E34*E35</f>
        <v>0</v>
      </c>
      <c r="F36" s="61">
        <f>F34*F35</f>
        <v>5712.7546602000002</v>
      </c>
      <c r="G36" s="61">
        <f>G34*G35</f>
        <v>13561.359035700003</v>
      </c>
      <c r="H36" s="61">
        <f>H34*H35</f>
        <v>11527.201685999999</v>
      </c>
      <c r="I36" s="61">
        <f>I34*I35</f>
        <v>13703.666339999998</v>
      </c>
      <c r="J36" s="51" t="s">
        <v>7</v>
      </c>
      <c r="K36" s="2"/>
      <c r="L36" t="s">
        <v>27</v>
      </c>
    </row>
    <row r="38" spans="1:12" x14ac:dyDescent="0.25">
      <c r="B38" s="44" t="s">
        <v>5</v>
      </c>
      <c r="E38" s="5">
        <f>E31</f>
        <v>96440.770999999993</v>
      </c>
      <c r="F38" s="5">
        <f>F31</f>
        <v>66734.581466000003</v>
      </c>
      <c r="G38" s="5">
        <f>G31</f>
        <v>40572.566880999999</v>
      </c>
      <c r="H38" s="5">
        <f>H31</f>
        <v>15315.862379999999</v>
      </c>
      <c r="I38" s="5">
        <f>I31</f>
        <v>8060.9801999999981</v>
      </c>
      <c r="J38" s="2" t="s">
        <v>6</v>
      </c>
      <c r="K38" s="2"/>
      <c r="L38" t="s">
        <v>62</v>
      </c>
    </row>
    <row r="39" spans="1:12" x14ac:dyDescent="0.25">
      <c r="B39" s="44" t="s">
        <v>29</v>
      </c>
      <c r="E39" s="14">
        <f>VLOOKUP(E9,Einspeisevergütung!$A$19:$G$119,IF(E25=0,7,6),TRUE)</f>
        <v>0.11121052631578948</v>
      </c>
      <c r="F39" s="14">
        <f>VLOOKUP(F9,Einspeisevergütung!$A$19:$G$119,IF(F25=0,7,6),TRUE)</f>
        <v>6.4631578947368429E-2</v>
      </c>
      <c r="G39" s="14">
        <f>VLOOKUP(G9,Einspeisevergütung!$A$19:$G$119,IF(G25=0,7,6),TRUE)</f>
        <v>6.4631578947368429E-2</v>
      </c>
      <c r="H39" s="14">
        <f>VLOOKUP(H9,Einspeisevergütung!$A$19:$G$119,IF(H25=0,7,6),TRUE)</f>
        <v>6.8677966101694923E-2</v>
      </c>
      <c r="I39" s="14">
        <f>VLOOKUP(I9,Einspeisevergütung!$A$19:$G$119,IF(I25=0,7,6),TRUE)</f>
        <v>6.8677966101694923E-2</v>
      </c>
      <c r="J39" s="2" t="s">
        <v>112</v>
      </c>
      <c r="K39" s="2"/>
    </row>
    <row r="40" spans="1:12" x14ac:dyDescent="0.25">
      <c r="B40" s="16" t="s">
        <v>15</v>
      </c>
      <c r="C40" s="16"/>
      <c r="D40" s="16"/>
      <c r="E40" s="29">
        <f t="shared" ref="E40:F40" si="5">E38*E39</f>
        <v>10725.228901210527</v>
      </c>
      <c r="F40" s="29">
        <f t="shared" si="5"/>
        <v>4313.1613705393693</v>
      </c>
      <c r="G40" s="29">
        <f>G38*G39</f>
        <v>2622.269059466737</v>
      </c>
      <c r="H40" s="29">
        <f>H38*H39</f>
        <v>1051.8622773518643</v>
      </c>
      <c r="I40" s="29">
        <f>I38*I39</f>
        <v>553.61172492203389</v>
      </c>
      <c r="J40" s="51" t="s">
        <v>7</v>
      </c>
      <c r="K40" s="2"/>
      <c r="L40" t="s">
        <v>30</v>
      </c>
    </row>
    <row r="41" spans="1:12" ht="15.75" thickBot="1" x14ac:dyDescent="0.3">
      <c r="E41" s="12"/>
      <c r="F41" s="12"/>
      <c r="G41" s="12"/>
      <c r="H41" s="12"/>
      <c r="I41" s="12"/>
      <c r="J41" s="2"/>
      <c r="K41" s="2"/>
    </row>
    <row r="42" spans="1:12" ht="15.75" thickBot="1" x14ac:dyDescent="0.3">
      <c r="B42" s="44" t="s">
        <v>63</v>
      </c>
      <c r="C42" s="58">
        <v>59</v>
      </c>
      <c r="D42" t="s">
        <v>31</v>
      </c>
      <c r="E42" s="6"/>
      <c r="F42" s="6"/>
      <c r="G42" s="6"/>
      <c r="H42" s="6"/>
      <c r="I42" s="6"/>
      <c r="J42" s="2"/>
      <c r="K42" s="2"/>
    </row>
    <row r="43" spans="1:12" ht="15.75" thickBot="1" x14ac:dyDescent="0.3">
      <c r="B43" s="44" t="s">
        <v>131</v>
      </c>
      <c r="C43" s="11"/>
      <c r="E43" s="114">
        <v>0</v>
      </c>
      <c r="F43" s="114">
        <v>0</v>
      </c>
      <c r="G43" s="114">
        <v>0</v>
      </c>
      <c r="H43" s="114">
        <v>0</v>
      </c>
      <c r="I43" s="114">
        <v>0</v>
      </c>
      <c r="J43" s="113"/>
      <c r="K43" s="2"/>
    </row>
    <row r="44" spans="1:12" ht="15.75" thickBot="1" x14ac:dyDescent="0.3">
      <c r="B44" s="112" t="s">
        <v>79</v>
      </c>
      <c r="C44" s="59">
        <v>150</v>
      </c>
      <c r="D44" s="15" t="s">
        <v>78</v>
      </c>
      <c r="E44" s="61">
        <f>IF(E43=0,0,$C44*($C42-2))</f>
        <v>0</v>
      </c>
      <c r="F44" s="61">
        <f>IF(F43=0,0,$C44*($C42-2))</f>
        <v>0</v>
      </c>
      <c r="G44" s="61">
        <f>IF(G43=0,0,$C44*($C42-2))</f>
        <v>0</v>
      </c>
      <c r="H44" s="61">
        <f>IF(H43=0,0,$C44*($C42-2))</f>
        <v>0</v>
      </c>
      <c r="I44" s="61">
        <f>IF(I43=0,0,$C44*($C42-2))</f>
        <v>0</v>
      </c>
      <c r="J44" s="51" t="s">
        <v>7</v>
      </c>
      <c r="K44" s="2"/>
      <c r="L44" t="s">
        <v>77</v>
      </c>
    </row>
    <row r="45" spans="1:12" ht="15.75" thickBot="1" x14ac:dyDescent="0.3">
      <c r="E45" s="12"/>
      <c r="F45" s="12"/>
      <c r="G45" s="12"/>
      <c r="H45" s="12"/>
      <c r="I45" s="12"/>
      <c r="J45" s="2"/>
      <c r="K45" s="2"/>
    </row>
    <row r="46" spans="1:12" ht="15.75" thickBot="1" x14ac:dyDescent="0.3">
      <c r="B46" s="15" t="s">
        <v>18</v>
      </c>
      <c r="C46" s="60">
        <v>5.0000000000000001E-3</v>
      </c>
      <c r="D46" s="19" t="s">
        <v>7</v>
      </c>
      <c r="E46" s="20">
        <f>-E15*$C46</f>
        <v>-591.78499999999997</v>
      </c>
      <c r="F46" s="20">
        <f>-F15*$C46</f>
        <v>-591.78499999999997</v>
      </c>
      <c r="G46" s="20">
        <f>-G15*$C46</f>
        <v>-591.78499999999997</v>
      </c>
      <c r="H46" s="20">
        <f>-H15*$C46</f>
        <v>-370.75686746987952</v>
      </c>
      <c r="I46" s="20">
        <f>-I15*$C46</f>
        <v>-590.75686746987947</v>
      </c>
      <c r="J46" s="19" t="s">
        <v>7</v>
      </c>
      <c r="K46" s="2"/>
      <c r="L46" t="s">
        <v>61</v>
      </c>
    </row>
    <row r="47" spans="1:12" ht="15.75" thickBot="1" x14ac:dyDescent="0.3">
      <c r="B47" s="53"/>
      <c r="C47" s="54"/>
      <c r="D47" s="55"/>
      <c r="E47" s="56"/>
      <c r="F47" s="56"/>
      <c r="G47" s="56"/>
      <c r="H47" s="56"/>
      <c r="I47" s="56"/>
      <c r="J47" s="55"/>
      <c r="K47" s="2"/>
    </row>
    <row r="48" spans="1:12" s="7" customFormat="1" ht="16.5" thickTop="1" x14ac:dyDescent="0.25">
      <c r="B48" s="45" t="s">
        <v>138</v>
      </c>
      <c r="C48" s="45"/>
      <c r="D48" s="45"/>
      <c r="E48" s="150">
        <f t="shared" ref="E48:F48" si="6">E36+E40+E44+E46</f>
        <v>10133.443901210527</v>
      </c>
      <c r="F48" s="150">
        <f t="shared" si="6"/>
        <v>9434.1310307393687</v>
      </c>
      <c r="G48" s="150">
        <f>G36+G40+G44+G46</f>
        <v>15591.84309516674</v>
      </c>
      <c r="H48" s="150">
        <f>H36+H40+H44+H46</f>
        <v>12208.307095881983</v>
      </c>
      <c r="I48" s="150">
        <f>I36+I40+I44+I46</f>
        <v>13666.521197452152</v>
      </c>
      <c r="J48" s="151" t="s">
        <v>7</v>
      </c>
      <c r="K48" s="152"/>
      <c r="L48" s="7" t="s">
        <v>142</v>
      </c>
    </row>
    <row r="49" spans="1:12" x14ac:dyDescent="0.25">
      <c r="B49" s="141" t="s">
        <v>134</v>
      </c>
      <c r="C49" s="141"/>
      <c r="D49" s="141"/>
      <c r="E49" s="142">
        <f>E48/$C42</f>
        <v>171.75328646119536</v>
      </c>
      <c r="F49" s="142">
        <f t="shared" ref="F49:G49" si="7">F48/$C42</f>
        <v>159.90052594473505</v>
      </c>
      <c r="G49" s="142">
        <f t="shared" si="7"/>
        <v>264.26852703672438</v>
      </c>
      <c r="H49" s="142">
        <f t="shared" ref="H49" si="8">H48/$C42</f>
        <v>206.92045925223698</v>
      </c>
      <c r="I49" s="142">
        <f t="shared" ref="I49" si="9">I48/$C42</f>
        <v>231.63595249918902</v>
      </c>
      <c r="J49" s="143" t="s">
        <v>135</v>
      </c>
      <c r="K49" s="2"/>
    </row>
    <row r="51" spans="1:12" s="7" customFormat="1" ht="15.75" x14ac:dyDescent="0.25">
      <c r="B51" s="45" t="s">
        <v>4</v>
      </c>
      <c r="C51" s="45"/>
      <c r="D51" s="45"/>
      <c r="E51" s="46">
        <f>E15/E48</f>
        <v>11.679839662985774</v>
      </c>
      <c r="F51" s="46">
        <f>F15/F48</f>
        <v>12.545617568205872</v>
      </c>
      <c r="G51" s="46">
        <f>G15/G48</f>
        <v>7.590956327458751</v>
      </c>
      <c r="H51" s="46">
        <f>H15/H48</f>
        <v>6.0738456947063613</v>
      </c>
      <c r="I51" s="46">
        <f>I15/I48</f>
        <v>8.6453144722742508</v>
      </c>
      <c r="J51" s="45" t="s">
        <v>2</v>
      </c>
      <c r="K51" s="21"/>
      <c r="L51" s="7" t="s">
        <v>33</v>
      </c>
    </row>
    <row r="52" spans="1:12" s="7" customFormat="1" ht="15.75" x14ac:dyDescent="0.25">
      <c r="B52" s="45" t="s">
        <v>139</v>
      </c>
      <c r="C52" s="45"/>
      <c r="D52" s="45"/>
      <c r="E52" s="110">
        <f t="shared" ref="E52:F52" si="10">YIELD(DATE(2001,1,1),DATE(2020,12,31),1/E51,100,0.01,1)</f>
        <v>5.7770729167179555E-2</v>
      </c>
      <c r="F52" s="110">
        <f t="shared" si="10"/>
        <v>4.9208791885853538E-2</v>
      </c>
      <c r="G52" s="110">
        <f>YIELD(DATE(2001,1,1),DATE(2020,12,31),1/G51,100,0.01,1)</f>
        <v>0.11743204623001458</v>
      </c>
      <c r="H52" s="110">
        <f>YIELD(DATE(2001,1,1),DATE(2020,12,31),1/H51,100,0.01,1)</f>
        <v>0.15548634350960833</v>
      </c>
      <c r="I52" s="110">
        <f>YIELD(DATE(2001,1,1),DATE(2020,12,31),1/I51,100,0.01,1)</f>
        <v>9.7754113864216105E-2</v>
      </c>
      <c r="J52" s="45" t="s">
        <v>107</v>
      </c>
      <c r="K52" s="21"/>
      <c r="L52" s="7" t="s">
        <v>140</v>
      </c>
    </row>
    <row r="53" spans="1:12" s="7" customFormat="1" ht="15.75" x14ac:dyDescent="0.25">
      <c r="B53" s="21"/>
      <c r="C53" s="21"/>
      <c r="D53" s="21"/>
      <c r="E53" s="97"/>
      <c r="F53" s="97"/>
      <c r="G53" s="97"/>
      <c r="H53" s="97"/>
      <c r="I53" s="97"/>
      <c r="J53" s="21"/>
      <c r="K53" s="21"/>
    </row>
    <row r="54" spans="1:12" s="133" customFormat="1" ht="21" x14ac:dyDescent="0.35">
      <c r="A54" s="130" t="s">
        <v>133</v>
      </c>
      <c r="B54" s="131"/>
      <c r="C54" s="131"/>
      <c r="D54" s="131"/>
      <c r="E54" s="132"/>
      <c r="F54" s="132"/>
      <c r="G54" s="132"/>
      <c r="H54" s="132"/>
      <c r="I54" s="132"/>
      <c r="J54" s="131"/>
      <c r="K54" s="131"/>
    </row>
    <row r="55" spans="1:12" s="98" customFormat="1" ht="16.5" thickBot="1" x14ac:dyDescent="0.3">
      <c r="B55" s="134" t="s">
        <v>122</v>
      </c>
      <c r="C55" s="135"/>
      <c r="D55" s="135"/>
      <c r="E55" s="136">
        <f>E15/$C42</f>
        <v>2006.050847457627</v>
      </c>
      <c r="F55" s="136">
        <f>F15/$C42</f>
        <v>2006.050847457627</v>
      </c>
      <c r="G55" s="136">
        <f>G15/$C42</f>
        <v>2006.050847457627</v>
      </c>
      <c r="H55" s="136">
        <f>H15/$C42</f>
        <v>1256.8029405758627</v>
      </c>
      <c r="I55" s="136">
        <f>I15/$C42</f>
        <v>2002.5656524402696</v>
      </c>
      <c r="J55" s="140" t="s">
        <v>136</v>
      </c>
    </row>
    <row r="56" spans="1:12" s="7" customFormat="1" ht="16.5" thickBot="1" x14ac:dyDescent="0.3">
      <c r="B56" s="133" t="s">
        <v>123</v>
      </c>
      <c r="C56" s="147">
        <v>20</v>
      </c>
      <c r="D56" s="133" t="s">
        <v>74</v>
      </c>
      <c r="E56" s="137">
        <f>E55/$C56/12</f>
        <v>8.3585451977401117</v>
      </c>
      <c r="F56" s="137">
        <f>F55/$C56/12</f>
        <v>8.3585451977401117</v>
      </c>
      <c r="G56" s="137">
        <f>G55/$C56/12</f>
        <v>8.3585451977401117</v>
      </c>
      <c r="H56" s="137">
        <f>H55/$C56/12</f>
        <v>5.2366789190660947</v>
      </c>
      <c r="I56" s="137">
        <f>I55/$C56/12</f>
        <v>8.3440235518344554</v>
      </c>
      <c r="J56" s="138" t="s">
        <v>137</v>
      </c>
    </row>
    <row r="57" spans="1:12" s="7" customFormat="1" ht="16.5" thickBot="1" x14ac:dyDescent="0.3">
      <c r="B57" s="133" t="s">
        <v>121</v>
      </c>
      <c r="C57" s="148">
        <v>7.0000000000000007E-2</v>
      </c>
      <c r="D57" s="133" t="s">
        <v>120</v>
      </c>
      <c r="E57" s="139">
        <f>IF(E49&lt;$C57*E55,"Nicht möglich",NPER($C57,E49,-E55,0,0))</f>
        <v>25.148177044182468</v>
      </c>
      <c r="F57" s="139">
        <f>IF(F49&lt;$C57*F55,"Nicht möglich",NPER($C57,F49,-F55,0,0))</f>
        <v>31.116780898911454</v>
      </c>
      <c r="G57" s="139">
        <f>IF(G49&lt;$C57*G55,"Nicht möglich",NPER($C57,G49,-G55,0,0))</f>
        <v>11.202340397762496</v>
      </c>
      <c r="H57" s="139">
        <f>IF(H49&lt;$C57*H55,"Nicht möglich",NPER($C57,H49,-H55,0,0))</f>
        <v>8.1834259545930177</v>
      </c>
      <c r="I57" s="139">
        <f>IF(I49&lt;$C57*I55,"Nicht möglich",NPER($C57,I49,-I55,0,0))</f>
        <v>13.735200244018486</v>
      </c>
      <c r="J57" s="133" t="s">
        <v>2</v>
      </c>
      <c r="L57" s="7" t="s">
        <v>141</v>
      </c>
    </row>
    <row r="58" spans="1:12" s="7" customFormat="1" ht="15.75" x14ac:dyDescent="0.25">
      <c r="B58" s="21"/>
      <c r="C58" s="21"/>
      <c r="D58" s="21"/>
      <c r="E58" s="97"/>
      <c r="F58" s="97"/>
      <c r="G58" s="97"/>
      <c r="H58" s="97"/>
      <c r="I58" s="97"/>
      <c r="J58" s="21"/>
      <c r="K58" s="21"/>
    </row>
    <row r="59" spans="1:12" s="117" customFormat="1" ht="18.75" x14ac:dyDescent="0.3">
      <c r="A59" s="117" t="s">
        <v>85</v>
      </c>
    </row>
    <row r="60" spans="1:12" s="111" customFormat="1" x14ac:dyDescent="0.25">
      <c r="B60" s="118" t="s">
        <v>12</v>
      </c>
      <c r="C60" s="118"/>
      <c r="D60" s="118"/>
      <c r="E60" s="119">
        <f>E20</f>
        <v>96440.770999999993</v>
      </c>
      <c r="F60" s="119">
        <f>F20</f>
        <v>85777.097000000009</v>
      </c>
      <c r="G60" s="119">
        <f>G20</f>
        <v>85777.097000000009</v>
      </c>
      <c r="H60" s="119">
        <f>H20</f>
        <v>53739.867999999995</v>
      </c>
      <c r="I60" s="119">
        <f>I20</f>
        <v>53739.867999999995</v>
      </c>
      <c r="J60" s="118" t="s">
        <v>6</v>
      </c>
      <c r="L60" t="s">
        <v>60</v>
      </c>
    </row>
    <row r="61" spans="1:12" x14ac:dyDescent="0.25">
      <c r="B61" t="s">
        <v>80</v>
      </c>
      <c r="C61">
        <v>106</v>
      </c>
      <c r="D61" t="s">
        <v>70</v>
      </c>
      <c r="E61" s="5">
        <f>-E10*$C61/20</f>
        <v>0</v>
      </c>
      <c r="F61" s="5">
        <f>-F10*$C61/20</f>
        <v>0</v>
      </c>
      <c r="G61" s="5">
        <f>-G10*$C61/20</f>
        <v>0</v>
      </c>
      <c r="H61" s="5">
        <f>-H10*$C61/20</f>
        <v>0</v>
      </c>
      <c r="I61" s="5">
        <f>-I10*$C61/20</f>
        <v>-233.2</v>
      </c>
      <c r="J61" t="s">
        <v>81</v>
      </c>
      <c r="L61" s="40" t="s">
        <v>69</v>
      </c>
    </row>
    <row r="62" spans="1:12" ht="15.75" x14ac:dyDescent="0.25">
      <c r="B62" s="120" t="s">
        <v>19</v>
      </c>
      <c r="C62" s="121">
        <v>0.68400000000000005</v>
      </c>
      <c r="D62" s="122" t="s">
        <v>66</v>
      </c>
      <c r="E62" s="123">
        <f>E60*$C62+E61</f>
        <v>65965.487364000001</v>
      </c>
      <c r="F62" s="123">
        <f>F60*$C62+F61</f>
        <v>58671.534348000008</v>
      </c>
      <c r="G62" s="123">
        <f>G60*$C62+G61</f>
        <v>58671.534348000008</v>
      </c>
      <c r="H62" s="123">
        <f>H60*$C62+H61</f>
        <v>36758.069711999997</v>
      </c>
      <c r="I62" s="123">
        <f>I60*$C62+I61</f>
        <v>36524.869712</v>
      </c>
      <c r="J62" s="124" t="s">
        <v>81</v>
      </c>
      <c r="L62" s="22" t="s">
        <v>20</v>
      </c>
    </row>
    <row r="63" spans="1:12" s="7" customFormat="1" ht="15.75" x14ac:dyDescent="0.25">
      <c r="B63" s="120" t="s">
        <v>21</v>
      </c>
      <c r="C63" s="125">
        <f>10000/6000</f>
        <v>1.6666666666666667</v>
      </c>
      <c r="D63" s="122" t="s">
        <v>65</v>
      </c>
      <c r="E63" s="126">
        <f>E62*$C63</f>
        <v>109942.47894</v>
      </c>
      <c r="F63" s="126">
        <f>F62*$C63</f>
        <v>97785.890580000021</v>
      </c>
      <c r="G63" s="126">
        <f>G62*$C63</f>
        <v>97785.890580000021</v>
      </c>
      <c r="H63" s="126">
        <f>H62*$C63</f>
        <v>61263.449519999995</v>
      </c>
      <c r="I63" s="126">
        <f>I62*$C63</f>
        <v>60874.782853333338</v>
      </c>
      <c r="J63" s="124" t="s">
        <v>82</v>
      </c>
      <c r="K63" s="21"/>
      <c r="L63" s="23" t="s">
        <v>22</v>
      </c>
    </row>
    <row r="64" spans="1:12" s="7" customFormat="1" ht="15.75" x14ac:dyDescent="0.25">
      <c r="B64" s="120"/>
      <c r="C64" s="125">
        <v>7140</v>
      </c>
      <c r="D64" s="122" t="s">
        <v>109</v>
      </c>
      <c r="E64" s="127">
        <f t="shared" ref="E64:F64" si="11">E63/$C64</f>
        <v>15.398106294117648</v>
      </c>
      <c r="F64" s="127">
        <f t="shared" si="11"/>
        <v>13.695502882352944</v>
      </c>
      <c r="G64" s="127">
        <f>G63/$C64</f>
        <v>13.695502882352944</v>
      </c>
      <c r="H64" s="127">
        <f>H63/$C64</f>
        <v>8.580315058823528</v>
      </c>
      <c r="I64" s="127">
        <f>I63/$C64</f>
        <v>8.5258799514472461</v>
      </c>
      <c r="J64" s="124" t="s">
        <v>110</v>
      </c>
      <c r="K64" s="21"/>
      <c r="L64" s="23"/>
    </row>
    <row r="65" spans="2:12" ht="16.5" thickBot="1" x14ac:dyDescent="0.3">
      <c r="B65" s="120" t="s">
        <v>87</v>
      </c>
      <c r="C65" s="128">
        <v>10500</v>
      </c>
      <c r="D65" s="122" t="s">
        <v>67</v>
      </c>
      <c r="E65" s="127">
        <f>E62/$C65</f>
        <v>6.2824273680000005</v>
      </c>
      <c r="F65" s="127">
        <f>F62/$C65</f>
        <v>5.5877651760000004</v>
      </c>
      <c r="G65" s="127">
        <f>G62/$C65</f>
        <v>5.5877651760000004</v>
      </c>
      <c r="H65" s="127">
        <f>H62/$C65</f>
        <v>3.5007685439999996</v>
      </c>
      <c r="I65" s="127">
        <f>I62/$C65</f>
        <v>3.4785590201904761</v>
      </c>
      <c r="J65" s="129" t="s">
        <v>83</v>
      </c>
      <c r="L65" s="40" t="s">
        <v>64</v>
      </c>
    </row>
    <row r="66" spans="2:12" ht="16.5" thickBot="1" x14ac:dyDescent="0.3">
      <c r="B66" s="120" t="s">
        <v>86</v>
      </c>
      <c r="C66" s="149">
        <v>20</v>
      </c>
      <c r="D66" s="122" t="s">
        <v>68</v>
      </c>
      <c r="E66" s="126">
        <f>E60/$C66*100</f>
        <v>482203.85499999992</v>
      </c>
      <c r="F66" s="126">
        <f>F60/$C66*100</f>
        <v>428885.48500000004</v>
      </c>
      <c r="G66" s="126">
        <f>G60/$C66*100</f>
        <v>428885.48500000004</v>
      </c>
      <c r="H66" s="126">
        <f>H60/$C66*100</f>
        <v>268699.33999999997</v>
      </c>
      <c r="I66" s="126">
        <f>I60/$C66*100</f>
        <v>268699.33999999997</v>
      </c>
      <c r="J66" s="124" t="s">
        <v>84</v>
      </c>
    </row>
  </sheetData>
  <hyperlinks>
    <hyperlink ref="L18" r:id="rId1" display="https://www.miete-aktuell.de/solarkataster/Herrenberg/Herrenberg/" xr:uid="{0BEBF78F-6C0E-41D6-B515-EC6FA16011AA}"/>
    <hyperlink ref="L61" r:id="rId2" display="https://www.ffe.de/veroeffentlichungen/umweltbilanz-von-elektrofahrzeugen-potenziale-der-kreislaufwirtschaft/" xr:uid="{009159C3-64DF-41C4-A5E5-7335E0B4237C}"/>
    <hyperlink ref="L65" r:id="rId3" display="https://www.umweltbundesamt.de/bild/durchschnittlicher-co2-fussabdruck-pro-kopf-in" xr:uid="{E6EAC674-09A8-425F-A194-82AA6C52DD9C}"/>
    <hyperlink ref="L63" r:id="rId4" location=":~:text=Faustformel%3A%20Ein%20Hektar%20Wald%20%E2%80%9Cspeichert,Tonne%20CO2%20%E2%80%9Cgespeichert%E2%80%9D." xr:uid="{F6816477-FA0C-439C-B512-72AA2BEE4788}"/>
    <hyperlink ref="L62" r:id="rId5" location="%C3%96kobilanz" xr:uid="{8EA55BFE-2A40-45D8-9B13-DCE9B4E5D929}"/>
    <hyperlink ref="B3" r:id="rId6" xr:uid="{B23841A9-CFF2-45A9-9D6F-E2655CAB5BA2}"/>
    <hyperlink ref="L2" r:id="rId7" xr:uid="{7FD261DA-35F5-4AAB-9F81-5F672EE1A450}"/>
    <hyperlink ref="L4" r:id="rId8" xr:uid="{F6084EA9-7292-4134-B3F8-E546C0CB640E}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86E0-4470-43B3-9DF6-1246C750AB14}">
  <dimension ref="A2:B8"/>
  <sheetViews>
    <sheetView workbookViewId="0">
      <selection activeCell="A2" sqref="A2:XFD2"/>
    </sheetView>
  </sheetViews>
  <sheetFormatPr defaultRowHeight="15" x14ac:dyDescent="0.25"/>
  <cols>
    <col min="1" max="1" width="34.7109375" customWidth="1"/>
  </cols>
  <sheetData>
    <row r="2" spans="1:2" ht="15.75" x14ac:dyDescent="0.25">
      <c r="A2" s="28" t="s">
        <v>35</v>
      </c>
      <c r="B2" s="28" t="s">
        <v>43</v>
      </c>
    </row>
    <row r="4" spans="1:2" x14ac:dyDescent="0.25">
      <c r="A4" t="s">
        <v>36</v>
      </c>
      <c r="B4" t="s">
        <v>37</v>
      </c>
    </row>
    <row r="6" spans="1:2" x14ac:dyDescent="0.25">
      <c r="A6" t="s">
        <v>38</v>
      </c>
      <c r="B6" t="s">
        <v>39</v>
      </c>
    </row>
    <row r="8" spans="1:2" x14ac:dyDescent="0.25">
      <c r="A8" t="s">
        <v>40</v>
      </c>
      <c r="B8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EF03-68FC-4626-A926-37BF410492D2}">
  <dimension ref="A1:G119"/>
  <sheetViews>
    <sheetView workbookViewId="0">
      <selection activeCell="C10" sqref="C10"/>
    </sheetView>
  </sheetViews>
  <sheetFormatPr defaultRowHeight="15" x14ac:dyDescent="0.25"/>
  <cols>
    <col min="1" max="1" width="18.42578125" style="1" customWidth="1"/>
    <col min="2" max="4" width="12.7109375" customWidth="1"/>
    <col min="5" max="5" width="3.28515625" customWidth="1"/>
    <col min="6" max="7" width="15.7109375" style="3" customWidth="1"/>
  </cols>
  <sheetData>
    <row r="1" spans="1:7" x14ac:dyDescent="0.25">
      <c r="A1" s="1" t="s">
        <v>90</v>
      </c>
    </row>
    <row r="3" spans="1:7" x14ac:dyDescent="0.25">
      <c r="A3" s="76" t="s">
        <v>91</v>
      </c>
      <c r="B3" s="15"/>
      <c r="C3" s="38" t="s">
        <v>56</v>
      </c>
      <c r="D3" s="15"/>
    </row>
    <row r="4" spans="1:7" x14ac:dyDescent="0.25">
      <c r="A4" s="77" t="s">
        <v>92</v>
      </c>
      <c r="B4" s="39" t="s">
        <v>52</v>
      </c>
      <c r="C4" s="39" t="s">
        <v>53</v>
      </c>
      <c r="D4" s="39" t="s">
        <v>54</v>
      </c>
    </row>
    <row r="5" spans="1:7" x14ac:dyDescent="0.25">
      <c r="A5" s="34" t="s">
        <v>16</v>
      </c>
      <c r="B5" s="30">
        <f>0.082</f>
        <v>8.2000000000000003E-2</v>
      </c>
      <c r="C5" s="30">
        <f>0.071</f>
        <v>7.0999999999999994E-2</v>
      </c>
      <c r="D5" s="30">
        <f>0.058</f>
        <v>5.8000000000000003E-2</v>
      </c>
      <c r="E5" s="2" t="s">
        <v>3</v>
      </c>
      <c r="G5" s="43" t="s">
        <v>58</v>
      </c>
    </row>
    <row r="6" spans="1:7" x14ac:dyDescent="0.25">
      <c r="A6" s="34" t="s">
        <v>8</v>
      </c>
      <c r="B6" s="30">
        <f>0.13</f>
        <v>0.13</v>
      </c>
      <c r="C6" s="30">
        <f>0.109</f>
        <v>0.109</v>
      </c>
      <c r="D6" s="30">
        <f>0.109</f>
        <v>0.109</v>
      </c>
      <c r="E6" s="2" t="s">
        <v>3</v>
      </c>
      <c r="G6" s="43" t="s">
        <v>58</v>
      </c>
    </row>
    <row r="8" spans="1:7" x14ac:dyDescent="0.25">
      <c r="A8" s="1" t="s">
        <v>88</v>
      </c>
      <c r="C8" s="73">
        <f>'Wirtschaftlichkeit &amp; Klima'!C8</f>
        <v>45068</v>
      </c>
      <c r="G8" s="50"/>
    </row>
    <row r="9" spans="1:7" x14ac:dyDescent="0.25">
      <c r="A9" s="1" t="s">
        <v>96</v>
      </c>
      <c r="B9" s="78">
        <v>45292</v>
      </c>
      <c r="C9" s="75">
        <f>IF(C8&lt;B9,0,CEILING(DATEDIF(B9,C8,"m")/6,1))</f>
        <v>0</v>
      </c>
      <c r="F9" s="50"/>
      <c r="G9" s="74">
        <f>C8-B9</f>
        <v>-224</v>
      </c>
    </row>
    <row r="10" spans="1:7" x14ac:dyDescent="0.25">
      <c r="A10" s="33"/>
    </row>
    <row r="11" spans="1:7" x14ac:dyDescent="0.25">
      <c r="A11" s="76" t="s">
        <v>93</v>
      </c>
      <c r="B11" s="15"/>
      <c r="C11" s="38" t="s">
        <v>56</v>
      </c>
      <c r="D11" s="15"/>
    </row>
    <row r="12" spans="1:7" x14ac:dyDescent="0.25">
      <c r="A12" s="77">
        <f>C8</f>
        <v>45068</v>
      </c>
      <c r="B12" s="39" t="s">
        <v>52</v>
      </c>
      <c r="C12" s="39" t="s">
        <v>53</v>
      </c>
      <c r="D12" s="39" t="s">
        <v>54</v>
      </c>
    </row>
    <row r="13" spans="1:7" x14ac:dyDescent="0.25">
      <c r="A13" s="34" t="s">
        <v>16</v>
      </c>
      <c r="B13" s="30">
        <f>B5*(1-$C$9/100)</f>
        <v>8.2000000000000003E-2</v>
      </c>
      <c r="C13" s="30">
        <f t="shared" ref="C13:D13" si="0">C5*(1-$C$9/100)</f>
        <v>7.0999999999999994E-2</v>
      </c>
      <c r="D13" s="30">
        <f t="shared" si="0"/>
        <v>5.8000000000000003E-2</v>
      </c>
      <c r="E13" s="2" t="s">
        <v>3</v>
      </c>
      <c r="G13" s="43"/>
    </row>
    <row r="14" spans="1:7" x14ac:dyDescent="0.25">
      <c r="A14" s="34" t="s">
        <v>8</v>
      </c>
      <c r="B14" s="30">
        <f>B6*(1-$C$9/100)</f>
        <v>0.13</v>
      </c>
      <c r="C14" s="30">
        <f t="shared" ref="C14:D14" si="1">C6*(1-$C$9/100)</f>
        <v>0.109</v>
      </c>
      <c r="D14" s="30">
        <f t="shared" si="1"/>
        <v>0.109</v>
      </c>
      <c r="E14" s="2" t="s">
        <v>3</v>
      </c>
      <c r="G14" s="43"/>
    </row>
    <row r="16" spans="1:7" s="13" customFormat="1" x14ac:dyDescent="0.25">
      <c r="A16" s="35" t="s">
        <v>28</v>
      </c>
      <c r="B16" s="31"/>
      <c r="C16" s="38" t="s">
        <v>56</v>
      </c>
      <c r="D16" s="31"/>
      <c r="E16" s="31"/>
      <c r="F16" s="41" t="s">
        <v>55</v>
      </c>
      <c r="G16" s="41" t="s">
        <v>55</v>
      </c>
    </row>
    <row r="17" spans="1:7" s="13" customFormat="1" x14ac:dyDescent="0.25">
      <c r="A17" s="35"/>
      <c r="B17" s="31" t="str">
        <f>B12</f>
        <v>0 - 10 kWp</v>
      </c>
      <c r="C17" s="31" t="str">
        <f t="shared" ref="C17:D17" si="2">C12</f>
        <v>10 - 40 kWp</v>
      </c>
      <c r="D17" s="31" t="str">
        <f t="shared" si="2"/>
        <v>40 - 100 kWp</v>
      </c>
      <c r="E17" s="31"/>
      <c r="F17" s="41" t="s">
        <v>16</v>
      </c>
      <c r="G17" s="41" t="s">
        <v>8</v>
      </c>
    </row>
    <row r="18" spans="1:7" s="13" customFormat="1" x14ac:dyDescent="0.25">
      <c r="A18" s="36" t="s">
        <v>0</v>
      </c>
      <c r="B18" s="32" t="s">
        <v>0</v>
      </c>
      <c r="C18" s="32" t="s">
        <v>0</v>
      </c>
      <c r="D18" s="32" t="s">
        <v>0</v>
      </c>
      <c r="E18" s="32"/>
      <c r="F18" s="42" t="s">
        <v>57</v>
      </c>
      <c r="G18" s="42" t="s">
        <v>57</v>
      </c>
    </row>
    <row r="19" spans="1:7" x14ac:dyDescent="0.25">
      <c r="A19" s="37">
        <v>1</v>
      </c>
      <c r="B19">
        <f>IF($A19&lt;10,$A19,10)</f>
        <v>1</v>
      </c>
      <c r="C19">
        <f>IF($A19&lt;10,0,IF($A19&gt;40,30,$A19-10))</f>
        <v>0</v>
      </c>
      <c r="D19">
        <f>IF(A19&lt;40,0,A19-40)</f>
        <v>0</v>
      </c>
      <c r="F19" s="3">
        <f>(B19*B$13+C19*C$13+D19*D$13)/$A19</f>
        <v>8.2000000000000003E-2</v>
      </c>
      <c r="G19" s="3">
        <f>(B19*B$14+C19*C$14+D19*D$14)/$A19</f>
        <v>0.13</v>
      </c>
    </row>
    <row r="20" spans="1:7" x14ac:dyDescent="0.25">
      <c r="A20" s="37">
        <v>2</v>
      </c>
      <c r="B20">
        <f t="shared" ref="B20:B83" si="3">IF($A20&lt;10,$A20,10)</f>
        <v>2</v>
      </c>
      <c r="C20">
        <f t="shared" ref="C20:C83" si="4">IF($A20&lt;10,0,IF($A20&gt;40,30,$A20-10))</f>
        <v>0</v>
      </c>
      <c r="D20">
        <f t="shared" ref="D20:D83" si="5">IF(A20&lt;40,0,A20-40)</f>
        <v>0</v>
      </c>
      <c r="F20" s="3">
        <f t="shared" ref="F20:F83" si="6">(B20*B$13+C20*C$13+D20*D$13)/$A20</f>
        <v>8.2000000000000003E-2</v>
      </c>
      <c r="G20" s="3">
        <f t="shared" ref="G20:G83" si="7">(B20*B$14+C20*C$14+D20*D$14)/$A20</f>
        <v>0.13</v>
      </c>
    </row>
    <row r="21" spans="1:7" x14ac:dyDescent="0.25">
      <c r="A21" s="37">
        <v>3</v>
      </c>
      <c r="B21">
        <f t="shared" si="3"/>
        <v>3</v>
      </c>
      <c r="C21">
        <f t="shared" si="4"/>
        <v>0</v>
      </c>
      <c r="D21">
        <f t="shared" si="5"/>
        <v>0</v>
      </c>
      <c r="F21" s="3">
        <f t="shared" si="6"/>
        <v>8.2000000000000003E-2</v>
      </c>
      <c r="G21" s="3">
        <f t="shared" si="7"/>
        <v>0.13</v>
      </c>
    </row>
    <row r="22" spans="1:7" x14ac:dyDescent="0.25">
      <c r="A22" s="37">
        <v>4</v>
      </c>
      <c r="B22">
        <f t="shared" si="3"/>
        <v>4</v>
      </c>
      <c r="C22">
        <f t="shared" si="4"/>
        <v>0</v>
      </c>
      <c r="D22">
        <f t="shared" si="5"/>
        <v>0</v>
      </c>
      <c r="F22" s="3">
        <f t="shared" si="6"/>
        <v>8.2000000000000003E-2</v>
      </c>
      <c r="G22" s="3">
        <f t="shared" si="7"/>
        <v>0.13</v>
      </c>
    </row>
    <row r="23" spans="1:7" x14ac:dyDescent="0.25">
      <c r="A23" s="37">
        <v>5</v>
      </c>
      <c r="B23">
        <f t="shared" si="3"/>
        <v>5</v>
      </c>
      <c r="C23">
        <f t="shared" si="4"/>
        <v>0</v>
      </c>
      <c r="D23">
        <f t="shared" si="5"/>
        <v>0</v>
      </c>
      <c r="F23" s="3">
        <f t="shared" si="6"/>
        <v>8.2000000000000003E-2</v>
      </c>
      <c r="G23" s="3">
        <f t="shared" si="7"/>
        <v>0.13</v>
      </c>
    </row>
    <row r="24" spans="1:7" x14ac:dyDescent="0.25">
      <c r="A24" s="37">
        <v>6</v>
      </c>
      <c r="B24">
        <f t="shared" si="3"/>
        <v>6</v>
      </c>
      <c r="C24">
        <f t="shared" si="4"/>
        <v>0</v>
      </c>
      <c r="D24">
        <f t="shared" si="5"/>
        <v>0</v>
      </c>
      <c r="F24" s="3">
        <f t="shared" si="6"/>
        <v>8.2000000000000003E-2</v>
      </c>
      <c r="G24" s="3">
        <f t="shared" si="7"/>
        <v>0.13</v>
      </c>
    </row>
    <row r="25" spans="1:7" x14ac:dyDescent="0.25">
      <c r="A25" s="37">
        <v>7</v>
      </c>
      <c r="B25">
        <f t="shared" si="3"/>
        <v>7</v>
      </c>
      <c r="C25">
        <f t="shared" si="4"/>
        <v>0</v>
      </c>
      <c r="D25">
        <f t="shared" si="5"/>
        <v>0</v>
      </c>
      <c r="F25" s="3">
        <f t="shared" si="6"/>
        <v>8.2000000000000003E-2</v>
      </c>
      <c r="G25" s="3">
        <f t="shared" si="7"/>
        <v>0.13</v>
      </c>
    </row>
    <row r="26" spans="1:7" x14ac:dyDescent="0.25">
      <c r="A26" s="37">
        <v>8</v>
      </c>
      <c r="B26">
        <f t="shared" si="3"/>
        <v>8</v>
      </c>
      <c r="C26">
        <f t="shared" si="4"/>
        <v>0</v>
      </c>
      <c r="D26">
        <f t="shared" si="5"/>
        <v>0</v>
      </c>
      <c r="F26" s="3">
        <f t="shared" si="6"/>
        <v>8.2000000000000003E-2</v>
      </c>
      <c r="G26" s="3">
        <f t="shared" si="7"/>
        <v>0.13</v>
      </c>
    </row>
    <row r="27" spans="1:7" x14ac:dyDescent="0.25">
      <c r="A27" s="37">
        <v>9</v>
      </c>
      <c r="B27">
        <f t="shared" si="3"/>
        <v>9</v>
      </c>
      <c r="C27">
        <f t="shared" si="4"/>
        <v>0</v>
      </c>
      <c r="D27">
        <f t="shared" si="5"/>
        <v>0</v>
      </c>
      <c r="F27" s="3">
        <f t="shared" si="6"/>
        <v>8.2000000000000003E-2</v>
      </c>
      <c r="G27" s="3">
        <f t="shared" si="7"/>
        <v>0.13</v>
      </c>
    </row>
    <row r="28" spans="1:7" x14ac:dyDescent="0.25">
      <c r="A28" s="37">
        <v>10</v>
      </c>
      <c r="B28">
        <f t="shared" si="3"/>
        <v>10</v>
      </c>
      <c r="C28">
        <f t="shared" si="4"/>
        <v>0</v>
      </c>
      <c r="D28">
        <f t="shared" si="5"/>
        <v>0</v>
      </c>
      <c r="F28" s="3">
        <f t="shared" si="6"/>
        <v>8.2000000000000003E-2</v>
      </c>
      <c r="G28" s="3">
        <f t="shared" si="7"/>
        <v>0.13</v>
      </c>
    </row>
    <row r="29" spans="1:7" x14ac:dyDescent="0.25">
      <c r="A29" s="37">
        <v>11</v>
      </c>
      <c r="B29">
        <f t="shared" si="3"/>
        <v>10</v>
      </c>
      <c r="C29">
        <f t="shared" si="4"/>
        <v>1</v>
      </c>
      <c r="D29">
        <f t="shared" si="5"/>
        <v>0</v>
      </c>
      <c r="F29" s="3">
        <f t="shared" si="6"/>
        <v>8.1000000000000003E-2</v>
      </c>
      <c r="G29" s="3">
        <f t="shared" si="7"/>
        <v>0.12809090909090909</v>
      </c>
    </row>
    <row r="30" spans="1:7" x14ac:dyDescent="0.25">
      <c r="A30" s="37">
        <v>12</v>
      </c>
      <c r="B30">
        <f t="shared" si="3"/>
        <v>10</v>
      </c>
      <c r="C30">
        <f t="shared" si="4"/>
        <v>2</v>
      </c>
      <c r="D30">
        <f t="shared" si="5"/>
        <v>0</v>
      </c>
      <c r="F30" s="3">
        <f t="shared" si="6"/>
        <v>8.0166666666666678E-2</v>
      </c>
      <c r="G30" s="3">
        <f t="shared" si="7"/>
        <v>0.1265</v>
      </c>
    </row>
    <row r="31" spans="1:7" x14ac:dyDescent="0.25">
      <c r="A31" s="37">
        <v>13</v>
      </c>
      <c r="B31">
        <f t="shared" si="3"/>
        <v>10</v>
      </c>
      <c r="C31">
        <f t="shared" si="4"/>
        <v>3</v>
      </c>
      <c r="D31">
        <f t="shared" si="5"/>
        <v>0</v>
      </c>
      <c r="F31" s="3">
        <f t="shared" si="6"/>
        <v>7.9461538461538458E-2</v>
      </c>
      <c r="G31" s="3">
        <f t="shared" si="7"/>
        <v>0.12515384615384614</v>
      </c>
    </row>
    <row r="32" spans="1:7" x14ac:dyDescent="0.25">
      <c r="A32" s="37">
        <v>14</v>
      </c>
      <c r="B32">
        <f t="shared" si="3"/>
        <v>10</v>
      </c>
      <c r="C32">
        <f t="shared" si="4"/>
        <v>4</v>
      </c>
      <c r="D32">
        <f t="shared" si="5"/>
        <v>0</v>
      </c>
      <c r="F32" s="3">
        <f t="shared" si="6"/>
        <v>7.8857142857142862E-2</v>
      </c>
      <c r="G32" s="3">
        <f t="shared" si="7"/>
        <v>0.124</v>
      </c>
    </row>
    <row r="33" spans="1:7" x14ac:dyDescent="0.25">
      <c r="A33" s="37">
        <v>15</v>
      </c>
      <c r="B33">
        <f t="shared" si="3"/>
        <v>10</v>
      </c>
      <c r="C33">
        <f t="shared" si="4"/>
        <v>5</v>
      </c>
      <c r="D33">
        <f t="shared" si="5"/>
        <v>0</v>
      </c>
      <c r="F33" s="3">
        <f t="shared" si="6"/>
        <v>7.8333333333333338E-2</v>
      </c>
      <c r="G33" s="3">
        <f t="shared" si="7"/>
        <v>0.12300000000000001</v>
      </c>
    </row>
    <row r="34" spans="1:7" x14ac:dyDescent="0.25">
      <c r="A34" s="37">
        <v>16</v>
      </c>
      <c r="B34">
        <f t="shared" si="3"/>
        <v>10</v>
      </c>
      <c r="C34">
        <f t="shared" si="4"/>
        <v>6</v>
      </c>
      <c r="D34">
        <f t="shared" si="5"/>
        <v>0</v>
      </c>
      <c r="F34" s="3">
        <f t="shared" si="6"/>
        <v>7.7875E-2</v>
      </c>
      <c r="G34" s="3">
        <f t="shared" si="7"/>
        <v>0.12212500000000001</v>
      </c>
    </row>
    <row r="35" spans="1:7" x14ac:dyDescent="0.25">
      <c r="A35" s="37">
        <v>17</v>
      </c>
      <c r="B35">
        <f t="shared" si="3"/>
        <v>10</v>
      </c>
      <c r="C35">
        <f t="shared" si="4"/>
        <v>7</v>
      </c>
      <c r="D35">
        <f t="shared" si="5"/>
        <v>0</v>
      </c>
      <c r="F35" s="3">
        <f t="shared" si="6"/>
        <v>7.7470588235294111E-2</v>
      </c>
      <c r="G35" s="3">
        <f t="shared" si="7"/>
        <v>0.12135294117647059</v>
      </c>
    </row>
    <row r="36" spans="1:7" x14ac:dyDescent="0.25">
      <c r="A36" s="37">
        <v>18</v>
      </c>
      <c r="B36">
        <f t="shared" si="3"/>
        <v>10</v>
      </c>
      <c r="C36">
        <f t="shared" si="4"/>
        <v>8</v>
      </c>
      <c r="D36">
        <f t="shared" si="5"/>
        <v>0</v>
      </c>
      <c r="F36" s="3">
        <f t="shared" si="6"/>
        <v>7.7111111111111103E-2</v>
      </c>
      <c r="G36" s="3">
        <f t="shared" si="7"/>
        <v>0.12066666666666667</v>
      </c>
    </row>
    <row r="37" spans="1:7" x14ac:dyDescent="0.25">
      <c r="A37" s="37">
        <v>19</v>
      </c>
      <c r="B37">
        <f t="shared" si="3"/>
        <v>10</v>
      </c>
      <c r="C37">
        <f t="shared" si="4"/>
        <v>9</v>
      </c>
      <c r="D37">
        <f t="shared" si="5"/>
        <v>0</v>
      </c>
      <c r="F37" s="3">
        <f t="shared" si="6"/>
        <v>7.6789473684210532E-2</v>
      </c>
      <c r="G37" s="3">
        <f t="shared" si="7"/>
        <v>0.12005263157894737</v>
      </c>
    </row>
    <row r="38" spans="1:7" x14ac:dyDescent="0.25">
      <c r="A38" s="37">
        <v>20</v>
      </c>
      <c r="B38">
        <f t="shared" si="3"/>
        <v>10</v>
      </c>
      <c r="C38">
        <f t="shared" si="4"/>
        <v>10</v>
      </c>
      <c r="D38">
        <f t="shared" si="5"/>
        <v>0</v>
      </c>
      <c r="F38" s="3">
        <f t="shared" si="6"/>
        <v>7.6499999999999999E-2</v>
      </c>
      <c r="G38" s="3">
        <f t="shared" si="7"/>
        <v>0.11950000000000001</v>
      </c>
    </row>
    <row r="39" spans="1:7" x14ac:dyDescent="0.25">
      <c r="A39" s="37">
        <v>21</v>
      </c>
      <c r="B39">
        <f t="shared" si="3"/>
        <v>10</v>
      </c>
      <c r="C39">
        <f t="shared" si="4"/>
        <v>11</v>
      </c>
      <c r="D39">
        <f t="shared" si="5"/>
        <v>0</v>
      </c>
      <c r="F39" s="3">
        <f t="shared" si="6"/>
        <v>7.6238095238095244E-2</v>
      </c>
      <c r="G39" s="3">
        <f t="shared" si="7"/>
        <v>0.11900000000000001</v>
      </c>
    </row>
    <row r="40" spans="1:7" x14ac:dyDescent="0.25">
      <c r="A40" s="37">
        <v>22</v>
      </c>
      <c r="B40">
        <f t="shared" si="3"/>
        <v>10</v>
      </c>
      <c r="C40">
        <f t="shared" si="4"/>
        <v>12</v>
      </c>
      <c r="D40">
        <f t="shared" si="5"/>
        <v>0</v>
      </c>
      <c r="F40" s="3">
        <f t="shared" si="6"/>
        <v>7.5999999999999998E-2</v>
      </c>
      <c r="G40" s="3">
        <f t="shared" si="7"/>
        <v>0.11854545454545455</v>
      </c>
    </row>
    <row r="41" spans="1:7" x14ac:dyDescent="0.25">
      <c r="A41" s="37">
        <v>23</v>
      </c>
      <c r="B41">
        <f t="shared" si="3"/>
        <v>10</v>
      </c>
      <c r="C41">
        <f t="shared" si="4"/>
        <v>13</v>
      </c>
      <c r="D41">
        <f t="shared" si="5"/>
        <v>0</v>
      </c>
      <c r="F41" s="3">
        <f t="shared" si="6"/>
        <v>7.5782608695652162E-2</v>
      </c>
      <c r="G41" s="3">
        <f t="shared" si="7"/>
        <v>0.11813043478260869</v>
      </c>
    </row>
    <row r="42" spans="1:7" x14ac:dyDescent="0.25">
      <c r="A42" s="37">
        <v>24</v>
      </c>
      <c r="B42">
        <f t="shared" si="3"/>
        <v>10</v>
      </c>
      <c r="C42">
        <f t="shared" si="4"/>
        <v>14</v>
      </c>
      <c r="D42">
        <f t="shared" si="5"/>
        <v>0</v>
      </c>
      <c r="F42" s="3">
        <f t="shared" si="6"/>
        <v>7.5583333333333336E-2</v>
      </c>
      <c r="G42" s="3">
        <f t="shared" si="7"/>
        <v>0.11775000000000001</v>
      </c>
    </row>
    <row r="43" spans="1:7" x14ac:dyDescent="0.25">
      <c r="A43" s="37">
        <v>25</v>
      </c>
      <c r="B43">
        <f t="shared" si="3"/>
        <v>10</v>
      </c>
      <c r="C43">
        <f t="shared" si="4"/>
        <v>15</v>
      </c>
      <c r="D43">
        <f t="shared" si="5"/>
        <v>0</v>
      </c>
      <c r="F43" s="3">
        <f t="shared" si="6"/>
        <v>7.5399999999999995E-2</v>
      </c>
      <c r="G43" s="3">
        <f t="shared" si="7"/>
        <v>0.1174</v>
      </c>
    </row>
    <row r="44" spans="1:7" x14ac:dyDescent="0.25">
      <c r="A44" s="37">
        <v>26</v>
      </c>
      <c r="B44">
        <f t="shared" si="3"/>
        <v>10</v>
      </c>
      <c r="C44">
        <f t="shared" si="4"/>
        <v>16</v>
      </c>
      <c r="D44">
        <f t="shared" si="5"/>
        <v>0</v>
      </c>
      <c r="F44" s="3">
        <f t="shared" si="6"/>
        <v>7.5230769230769226E-2</v>
      </c>
      <c r="G44" s="3">
        <f t="shared" si="7"/>
        <v>0.11707692307692308</v>
      </c>
    </row>
    <row r="45" spans="1:7" x14ac:dyDescent="0.25">
      <c r="A45" s="37">
        <v>27</v>
      </c>
      <c r="B45">
        <f t="shared" si="3"/>
        <v>10</v>
      </c>
      <c r="C45">
        <f t="shared" si="4"/>
        <v>17</v>
      </c>
      <c r="D45">
        <f t="shared" si="5"/>
        <v>0</v>
      </c>
      <c r="F45" s="3">
        <f t="shared" si="6"/>
        <v>7.5074074074074085E-2</v>
      </c>
      <c r="G45" s="3">
        <f t="shared" si="7"/>
        <v>0.11677777777777777</v>
      </c>
    </row>
    <row r="46" spans="1:7" x14ac:dyDescent="0.25">
      <c r="A46" s="37">
        <v>28</v>
      </c>
      <c r="B46">
        <f t="shared" si="3"/>
        <v>10</v>
      </c>
      <c r="C46">
        <f t="shared" si="4"/>
        <v>18</v>
      </c>
      <c r="D46">
        <f t="shared" si="5"/>
        <v>0</v>
      </c>
      <c r="F46" s="3">
        <f t="shared" si="6"/>
        <v>7.4928571428571428E-2</v>
      </c>
      <c r="G46" s="3">
        <f t="shared" si="7"/>
        <v>0.11650000000000001</v>
      </c>
    </row>
    <row r="47" spans="1:7" x14ac:dyDescent="0.25">
      <c r="A47" s="37">
        <v>29</v>
      </c>
      <c r="B47">
        <f t="shared" si="3"/>
        <v>10</v>
      </c>
      <c r="C47">
        <f t="shared" si="4"/>
        <v>19</v>
      </c>
      <c r="D47">
        <f t="shared" si="5"/>
        <v>0</v>
      </c>
      <c r="F47" s="3">
        <f t="shared" si="6"/>
        <v>7.4793103448275861E-2</v>
      </c>
      <c r="G47" s="3">
        <f t="shared" si="7"/>
        <v>0.11624137931034484</v>
      </c>
    </row>
    <row r="48" spans="1:7" x14ac:dyDescent="0.25">
      <c r="A48" s="37">
        <v>30</v>
      </c>
      <c r="B48">
        <f t="shared" si="3"/>
        <v>10</v>
      </c>
      <c r="C48">
        <f t="shared" si="4"/>
        <v>20</v>
      </c>
      <c r="D48">
        <f t="shared" si="5"/>
        <v>0</v>
      </c>
      <c r="F48" s="3">
        <f t="shared" si="6"/>
        <v>7.4666666666666673E-2</v>
      </c>
      <c r="G48" s="3">
        <f t="shared" si="7"/>
        <v>0.11600000000000002</v>
      </c>
    </row>
    <row r="49" spans="1:7" x14ac:dyDescent="0.25">
      <c r="A49" s="37">
        <v>31</v>
      </c>
      <c r="B49">
        <f t="shared" si="3"/>
        <v>10</v>
      </c>
      <c r="C49">
        <f t="shared" si="4"/>
        <v>21</v>
      </c>
      <c r="D49">
        <f t="shared" si="5"/>
        <v>0</v>
      </c>
      <c r="F49" s="3">
        <f t="shared" si="6"/>
        <v>7.4548387096774194E-2</v>
      </c>
      <c r="G49" s="3">
        <f t="shared" si="7"/>
        <v>0.11577419354838711</v>
      </c>
    </row>
    <row r="50" spans="1:7" x14ac:dyDescent="0.25">
      <c r="A50" s="37">
        <v>32</v>
      </c>
      <c r="B50">
        <f t="shared" si="3"/>
        <v>10</v>
      </c>
      <c r="C50">
        <f t="shared" si="4"/>
        <v>22</v>
      </c>
      <c r="D50">
        <f t="shared" si="5"/>
        <v>0</v>
      </c>
      <c r="F50" s="3">
        <f t="shared" si="6"/>
        <v>7.443749999999999E-2</v>
      </c>
      <c r="G50" s="3">
        <f t="shared" si="7"/>
        <v>0.11556250000000001</v>
      </c>
    </row>
    <row r="51" spans="1:7" x14ac:dyDescent="0.25">
      <c r="A51" s="37">
        <v>33</v>
      </c>
      <c r="B51">
        <f t="shared" si="3"/>
        <v>10</v>
      </c>
      <c r="C51">
        <f t="shared" si="4"/>
        <v>23</v>
      </c>
      <c r="D51">
        <f t="shared" si="5"/>
        <v>0</v>
      </c>
      <c r="F51" s="3">
        <f t="shared" si="6"/>
        <v>7.4333333333333335E-2</v>
      </c>
      <c r="G51" s="3">
        <f t="shared" si="7"/>
        <v>0.11536363636363638</v>
      </c>
    </row>
    <row r="52" spans="1:7" x14ac:dyDescent="0.25">
      <c r="A52" s="37">
        <v>34</v>
      </c>
      <c r="B52">
        <f t="shared" si="3"/>
        <v>10</v>
      </c>
      <c r="C52">
        <f t="shared" si="4"/>
        <v>24</v>
      </c>
      <c r="D52">
        <f t="shared" si="5"/>
        <v>0</v>
      </c>
      <c r="F52" s="3">
        <f t="shared" si="6"/>
        <v>7.4235294117647066E-2</v>
      </c>
      <c r="G52" s="3">
        <f t="shared" si="7"/>
        <v>0.11517647058823531</v>
      </c>
    </row>
    <row r="53" spans="1:7" x14ac:dyDescent="0.25">
      <c r="A53" s="37">
        <v>35</v>
      </c>
      <c r="B53">
        <f t="shared" si="3"/>
        <v>10</v>
      </c>
      <c r="C53">
        <f t="shared" si="4"/>
        <v>25</v>
      </c>
      <c r="D53">
        <f t="shared" si="5"/>
        <v>0</v>
      </c>
      <c r="F53" s="3">
        <f t="shared" si="6"/>
        <v>7.4142857142857135E-2</v>
      </c>
      <c r="G53" s="3">
        <f t="shared" si="7"/>
        <v>0.115</v>
      </c>
    </row>
    <row r="54" spans="1:7" x14ac:dyDescent="0.25">
      <c r="A54" s="37">
        <v>36</v>
      </c>
      <c r="B54">
        <f t="shared" si="3"/>
        <v>10</v>
      </c>
      <c r="C54">
        <f t="shared" si="4"/>
        <v>26</v>
      </c>
      <c r="D54">
        <f t="shared" si="5"/>
        <v>0</v>
      </c>
      <c r="F54" s="3">
        <f t="shared" si="6"/>
        <v>7.4055555555555555E-2</v>
      </c>
      <c r="G54" s="3">
        <f t="shared" si="7"/>
        <v>0.11483333333333334</v>
      </c>
    </row>
    <row r="55" spans="1:7" x14ac:dyDescent="0.25">
      <c r="A55" s="37">
        <v>37</v>
      </c>
      <c r="B55">
        <f t="shared" si="3"/>
        <v>10</v>
      </c>
      <c r="C55">
        <f t="shared" si="4"/>
        <v>27</v>
      </c>
      <c r="D55">
        <f t="shared" si="5"/>
        <v>0</v>
      </c>
      <c r="F55" s="3">
        <f t="shared" si="6"/>
        <v>7.3972972972972978E-2</v>
      </c>
      <c r="G55" s="3">
        <f t="shared" si="7"/>
        <v>0.11467567567567569</v>
      </c>
    </row>
    <row r="56" spans="1:7" x14ac:dyDescent="0.25">
      <c r="A56" s="37">
        <v>38</v>
      </c>
      <c r="B56">
        <f t="shared" si="3"/>
        <v>10</v>
      </c>
      <c r="C56">
        <f t="shared" si="4"/>
        <v>28</v>
      </c>
      <c r="D56">
        <f t="shared" si="5"/>
        <v>0</v>
      </c>
      <c r="F56" s="3">
        <f t="shared" si="6"/>
        <v>7.3894736842105263E-2</v>
      </c>
      <c r="G56" s="3">
        <f t="shared" si="7"/>
        <v>0.1145263157894737</v>
      </c>
    </row>
    <row r="57" spans="1:7" x14ac:dyDescent="0.25">
      <c r="A57" s="37">
        <v>39</v>
      </c>
      <c r="B57">
        <f t="shared" si="3"/>
        <v>10</v>
      </c>
      <c r="C57">
        <f t="shared" si="4"/>
        <v>29</v>
      </c>
      <c r="D57">
        <f t="shared" si="5"/>
        <v>0</v>
      </c>
      <c r="F57" s="3">
        <f t="shared" si="6"/>
        <v>7.3820512820512815E-2</v>
      </c>
      <c r="G57" s="3">
        <f t="shared" si="7"/>
        <v>0.11438461538461539</v>
      </c>
    </row>
    <row r="58" spans="1:7" x14ac:dyDescent="0.25">
      <c r="A58" s="37">
        <v>40</v>
      </c>
      <c r="B58">
        <f t="shared" si="3"/>
        <v>10</v>
      </c>
      <c r="C58">
        <f t="shared" si="4"/>
        <v>30</v>
      </c>
      <c r="D58">
        <f t="shared" si="5"/>
        <v>0</v>
      </c>
      <c r="F58" s="3">
        <f t="shared" si="6"/>
        <v>7.375000000000001E-2</v>
      </c>
      <c r="G58" s="3">
        <f t="shared" si="7"/>
        <v>0.11425</v>
      </c>
    </row>
    <row r="59" spans="1:7" x14ac:dyDescent="0.25">
      <c r="A59" s="37">
        <v>41</v>
      </c>
      <c r="B59">
        <f t="shared" si="3"/>
        <v>10</v>
      </c>
      <c r="C59">
        <f t="shared" si="4"/>
        <v>30</v>
      </c>
      <c r="D59">
        <f t="shared" si="5"/>
        <v>1</v>
      </c>
      <c r="F59" s="3">
        <f t="shared" si="6"/>
        <v>7.3365853658536581E-2</v>
      </c>
      <c r="G59" s="3">
        <f t="shared" si="7"/>
        <v>0.1141219512195122</v>
      </c>
    </row>
    <row r="60" spans="1:7" x14ac:dyDescent="0.25">
      <c r="A60" s="37">
        <v>42</v>
      </c>
      <c r="B60">
        <f t="shared" si="3"/>
        <v>10</v>
      </c>
      <c r="C60">
        <f t="shared" si="4"/>
        <v>30</v>
      </c>
      <c r="D60">
        <f t="shared" si="5"/>
        <v>2</v>
      </c>
      <c r="F60" s="3">
        <f t="shared" si="6"/>
        <v>7.3000000000000009E-2</v>
      </c>
      <c r="G60" s="3">
        <f t="shared" si="7"/>
        <v>0.114</v>
      </c>
    </row>
    <row r="61" spans="1:7" x14ac:dyDescent="0.25">
      <c r="A61" s="37">
        <v>43</v>
      </c>
      <c r="B61">
        <f t="shared" si="3"/>
        <v>10</v>
      </c>
      <c r="C61">
        <f t="shared" si="4"/>
        <v>30</v>
      </c>
      <c r="D61">
        <f t="shared" si="5"/>
        <v>3</v>
      </c>
      <c r="F61" s="3">
        <f t="shared" si="6"/>
        <v>7.2651162790697679E-2</v>
      </c>
      <c r="G61" s="3">
        <f t="shared" si="7"/>
        <v>0.11388372093023257</v>
      </c>
    </row>
    <row r="62" spans="1:7" x14ac:dyDescent="0.25">
      <c r="A62" s="37">
        <v>44</v>
      </c>
      <c r="B62">
        <f t="shared" si="3"/>
        <v>10</v>
      </c>
      <c r="C62">
        <f t="shared" si="4"/>
        <v>30</v>
      </c>
      <c r="D62">
        <f t="shared" si="5"/>
        <v>4</v>
      </c>
      <c r="F62" s="3">
        <f t="shared" si="6"/>
        <v>7.2318181818181823E-2</v>
      </c>
      <c r="G62" s="3">
        <f t="shared" si="7"/>
        <v>0.11377272727272728</v>
      </c>
    </row>
    <row r="63" spans="1:7" x14ac:dyDescent="0.25">
      <c r="A63" s="37">
        <v>45</v>
      </c>
      <c r="B63">
        <f t="shared" si="3"/>
        <v>10</v>
      </c>
      <c r="C63">
        <f t="shared" si="4"/>
        <v>30</v>
      </c>
      <c r="D63">
        <f t="shared" si="5"/>
        <v>5</v>
      </c>
      <c r="F63" s="3">
        <f t="shared" si="6"/>
        <v>7.2000000000000008E-2</v>
      </c>
      <c r="G63" s="3">
        <f t="shared" si="7"/>
        <v>0.11366666666666667</v>
      </c>
    </row>
    <row r="64" spans="1:7" x14ac:dyDescent="0.25">
      <c r="A64" s="37">
        <v>46</v>
      </c>
      <c r="B64">
        <f t="shared" si="3"/>
        <v>10</v>
      </c>
      <c r="C64">
        <f t="shared" si="4"/>
        <v>30</v>
      </c>
      <c r="D64">
        <f t="shared" si="5"/>
        <v>6</v>
      </c>
      <c r="F64" s="3">
        <f t="shared" si="6"/>
        <v>7.1695652173913049E-2</v>
      </c>
      <c r="G64" s="3">
        <f t="shared" si="7"/>
        <v>0.11356521739130435</v>
      </c>
    </row>
    <row r="65" spans="1:7" x14ac:dyDescent="0.25">
      <c r="A65" s="37">
        <v>47</v>
      </c>
      <c r="B65">
        <f t="shared" si="3"/>
        <v>10</v>
      </c>
      <c r="C65">
        <f t="shared" si="4"/>
        <v>30</v>
      </c>
      <c r="D65">
        <f t="shared" si="5"/>
        <v>7</v>
      </c>
      <c r="F65" s="3">
        <f t="shared" si="6"/>
        <v>7.1404255319148943E-2</v>
      </c>
      <c r="G65" s="3">
        <f t="shared" si="7"/>
        <v>0.11346808510638298</v>
      </c>
    </row>
    <row r="66" spans="1:7" x14ac:dyDescent="0.25">
      <c r="A66" s="37">
        <v>48</v>
      </c>
      <c r="B66">
        <f t="shared" si="3"/>
        <v>10</v>
      </c>
      <c r="C66">
        <f t="shared" si="4"/>
        <v>30</v>
      </c>
      <c r="D66">
        <f t="shared" si="5"/>
        <v>8</v>
      </c>
      <c r="F66" s="3">
        <f t="shared" si="6"/>
        <v>7.1125000000000008E-2</v>
      </c>
      <c r="G66" s="3">
        <f t="shared" si="7"/>
        <v>0.113375</v>
      </c>
    </row>
    <row r="67" spans="1:7" x14ac:dyDescent="0.25">
      <c r="A67" s="37">
        <v>49</v>
      </c>
      <c r="B67">
        <f t="shared" si="3"/>
        <v>10</v>
      </c>
      <c r="C67">
        <f t="shared" si="4"/>
        <v>30</v>
      </c>
      <c r="D67">
        <f t="shared" si="5"/>
        <v>9</v>
      </c>
      <c r="F67" s="3">
        <f t="shared" si="6"/>
        <v>7.0857142857142869E-2</v>
      </c>
      <c r="G67" s="3">
        <f t="shared" si="7"/>
        <v>0.1132857142857143</v>
      </c>
    </row>
    <row r="68" spans="1:7" x14ac:dyDescent="0.25">
      <c r="A68" s="37">
        <v>50</v>
      </c>
      <c r="B68">
        <f t="shared" si="3"/>
        <v>10</v>
      </c>
      <c r="C68">
        <f t="shared" si="4"/>
        <v>30</v>
      </c>
      <c r="D68">
        <f t="shared" si="5"/>
        <v>10</v>
      </c>
      <c r="F68" s="3">
        <f t="shared" si="6"/>
        <v>7.060000000000001E-2</v>
      </c>
      <c r="G68" s="3">
        <f t="shared" si="7"/>
        <v>0.11320000000000001</v>
      </c>
    </row>
    <row r="69" spans="1:7" x14ac:dyDescent="0.25">
      <c r="A69" s="37">
        <v>51</v>
      </c>
      <c r="B69">
        <f t="shared" si="3"/>
        <v>10</v>
      </c>
      <c r="C69">
        <f t="shared" si="4"/>
        <v>30</v>
      </c>
      <c r="D69">
        <f t="shared" si="5"/>
        <v>11</v>
      </c>
      <c r="F69" s="3">
        <f t="shared" si="6"/>
        <v>7.035294117647059E-2</v>
      </c>
      <c r="G69" s="3">
        <f t="shared" si="7"/>
        <v>0.11311764705882353</v>
      </c>
    </row>
    <row r="70" spans="1:7" x14ac:dyDescent="0.25">
      <c r="A70" s="37">
        <v>52</v>
      </c>
      <c r="B70">
        <f t="shared" si="3"/>
        <v>10</v>
      </c>
      <c r="C70">
        <f t="shared" si="4"/>
        <v>30</v>
      </c>
      <c r="D70">
        <f t="shared" si="5"/>
        <v>12</v>
      </c>
      <c r="F70" s="3">
        <f t="shared" si="6"/>
        <v>7.0115384615384621E-2</v>
      </c>
      <c r="G70" s="3">
        <f t="shared" si="7"/>
        <v>0.11303846153846155</v>
      </c>
    </row>
    <row r="71" spans="1:7" x14ac:dyDescent="0.25">
      <c r="A71" s="37">
        <v>53</v>
      </c>
      <c r="B71">
        <f t="shared" si="3"/>
        <v>10</v>
      </c>
      <c r="C71">
        <f t="shared" si="4"/>
        <v>30</v>
      </c>
      <c r="D71">
        <f t="shared" si="5"/>
        <v>13</v>
      </c>
      <c r="F71" s="3">
        <f t="shared" si="6"/>
        <v>6.9886792452830193E-2</v>
      </c>
      <c r="G71" s="3">
        <f t="shared" si="7"/>
        <v>0.1129622641509434</v>
      </c>
    </row>
    <row r="72" spans="1:7" x14ac:dyDescent="0.25">
      <c r="A72" s="37">
        <v>54</v>
      </c>
      <c r="B72">
        <f t="shared" si="3"/>
        <v>10</v>
      </c>
      <c r="C72">
        <f t="shared" si="4"/>
        <v>30</v>
      </c>
      <c r="D72">
        <f t="shared" si="5"/>
        <v>14</v>
      </c>
      <c r="F72" s="3">
        <f t="shared" si="6"/>
        <v>6.9666666666666668E-2</v>
      </c>
      <c r="G72" s="3">
        <f t="shared" si="7"/>
        <v>0.11288888888888889</v>
      </c>
    </row>
    <row r="73" spans="1:7" x14ac:dyDescent="0.25">
      <c r="A73" s="37">
        <v>55</v>
      </c>
      <c r="B73">
        <f t="shared" si="3"/>
        <v>10</v>
      </c>
      <c r="C73">
        <f t="shared" si="4"/>
        <v>30</v>
      </c>
      <c r="D73">
        <f t="shared" si="5"/>
        <v>15</v>
      </c>
      <c r="F73" s="3">
        <f t="shared" si="6"/>
        <v>6.9454545454545463E-2</v>
      </c>
      <c r="G73" s="3">
        <f t="shared" si="7"/>
        <v>0.11281818181818182</v>
      </c>
    </row>
    <row r="74" spans="1:7" x14ac:dyDescent="0.25">
      <c r="A74" s="37">
        <v>56</v>
      </c>
      <c r="B74">
        <f t="shared" si="3"/>
        <v>10</v>
      </c>
      <c r="C74">
        <f t="shared" si="4"/>
        <v>30</v>
      </c>
      <c r="D74">
        <f t="shared" si="5"/>
        <v>16</v>
      </c>
      <c r="F74" s="3">
        <f t="shared" si="6"/>
        <v>6.9250000000000006E-2</v>
      </c>
      <c r="G74" s="3">
        <f t="shared" si="7"/>
        <v>0.11275</v>
      </c>
    </row>
    <row r="75" spans="1:7" x14ac:dyDescent="0.25">
      <c r="A75" s="37">
        <v>57</v>
      </c>
      <c r="B75">
        <f t="shared" si="3"/>
        <v>10</v>
      </c>
      <c r="C75">
        <f t="shared" si="4"/>
        <v>30</v>
      </c>
      <c r="D75">
        <f t="shared" si="5"/>
        <v>17</v>
      </c>
      <c r="F75" s="3">
        <f t="shared" si="6"/>
        <v>6.9052631578947379E-2</v>
      </c>
      <c r="G75" s="3">
        <f t="shared" si="7"/>
        <v>0.11268421052631579</v>
      </c>
    </row>
    <row r="76" spans="1:7" x14ac:dyDescent="0.25">
      <c r="A76" s="37">
        <v>58</v>
      </c>
      <c r="B76">
        <f t="shared" si="3"/>
        <v>10</v>
      </c>
      <c r="C76">
        <f t="shared" si="4"/>
        <v>30</v>
      </c>
      <c r="D76">
        <f t="shared" si="5"/>
        <v>18</v>
      </c>
      <c r="F76" s="3">
        <f t="shared" si="6"/>
        <v>6.8862068965517248E-2</v>
      </c>
      <c r="G76" s="3">
        <f t="shared" si="7"/>
        <v>0.11262068965517241</v>
      </c>
    </row>
    <row r="77" spans="1:7" x14ac:dyDescent="0.25">
      <c r="A77" s="37">
        <v>59</v>
      </c>
      <c r="B77">
        <f t="shared" si="3"/>
        <v>10</v>
      </c>
      <c r="C77">
        <f t="shared" si="4"/>
        <v>30</v>
      </c>
      <c r="D77">
        <f t="shared" si="5"/>
        <v>19</v>
      </c>
      <c r="F77" s="3">
        <f t="shared" si="6"/>
        <v>6.8677966101694923E-2</v>
      </c>
      <c r="G77" s="3">
        <f t="shared" si="7"/>
        <v>0.1125593220338983</v>
      </c>
    </row>
    <row r="78" spans="1:7" x14ac:dyDescent="0.25">
      <c r="A78" s="37">
        <v>60</v>
      </c>
      <c r="B78">
        <f t="shared" si="3"/>
        <v>10</v>
      </c>
      <c r="C78">
        <f t="shared" si="4"/>
        <v>30</v>
      </c>
      <c r="D78">
        <f t="shared" si="5"/>
        <v>20</v>
      </c>
      <c r="F78" s="3">
        <f t="shared" si="6"/>
        <v>6.8500000000000005E-2</v>
      </c>
      <c r="G78" s="3">
        <f t="shared" si="7"/>
        <v>0.1125</v>
      </c>
    </row>
    <row r="79" spans="1:7" x14ac:dyDescent="0.25">
      <c r="A79" s="37">
        <v>61</v>
      </c>
      <c r="B79">
        <f t="shared" si="3"/>
        <v>10</v>
      </c>
      <c r="C79">
        <f t="shared" si="4"/>
        <v>30</v>
      </c>
      <c r="D79">
        <f t="shared" si="5"/>
        <v>21</v>
      </c>
      <c r="F79" s="3">
        <f t="shared" si="6"/>
        <v>6.832786885245902E-2</v>
      </c>
      <c r="G79" s="3">
        <f t="shared" si="7"/>
        <v>0.11244262295081967</v>
      </c>
    </row>
    <row r="80" spans="1:7" x14ac:dyDescent="0.25">
      <c r="A80" s="37">
        <v>62</v>
      </c>
      <c r="B80">
        <f t="shared" si="3"/>
        <v>10</v>
      </c>
      <c r="C80">
        <f t="shared" si="4"/>
        <v>30</v>
      </c>
      <c r="D80">
        <f t="shared" si="5"/>
        <v>22</v>
      </c>
      <c r="F80" s="3">
        <f t="shared" si="6"/>
        <v>6.8161290322580642E-2</v>
      </c>
      <c r="G80" s="3">
        <f t="shared" si="7"/>
        <v>0.11238709677419355</v>
      </c>
    </row>
    <row r="81" spans="1:7" x14ac:dyDescent="0.25">
      <c r="A81" s="37">
        <v>63</v>
      </c>
      <c r="B81">
        <f t="shared" si="3"/>
        <v>10</v>
      </c>
      <c r="C81">
        <f t="shared" si="4"/>
        <v>30</v>
      </c>
      <c r="D81">
        <f t="shared" si="5"/>
        <v>23</v>
      </c>
      <c r="F81" s="3">
        <f t="shared" si="6"/>
        <v>6.8000000000000005E-2</v>
      </c>
      <c r="G81" s="3">
        <f t="shared" si="7"/>
        <v>0.11233333333333333</v>
      </c>
    </row>
    <row r="82" spans="1:7" x14ac:dyDescent="0.25">
      <c r="A82" s="37">
        <v>64</v>
      </c>
      <c r="B82">
        <f t="shared" si="3"/>
        <v>10</v>
      </c>
      <c r="C82">
        <f t="shared" si="4"/>
        <v>30</v>
      </c>
      <c r="D82">
        <f t="shared" si="5"/>
        <v>24</v>
      </c>
      <c r="F82" s="3">
        <f t="shared" si="6"/>
        <v>6.7843750000000008E-2</v>
      </c>
      <c r="G82" s="3">
        <f t="shared" si="7"/>
        <v>0.11228125</v>
      </c>
    </row>
    <row r="83" spans="1:7" x14ac:dyDescent="0.25">
      <c r="A83" s="37">
        <v>65</v>
      </c>
      <c r="B83">
        <f t="shared" si="3"/>
        <v>10</v>
      </c>
      <c r="C83">
        <f t="shared" si="4"/>
        <v>30</v>
      </c>
      <c r="D83">
        <f t="shared" si="5"/>
        <v>25</v>
      </c>
      <c r="F83" s="3">
        <f t="shared" si="6"/>
        <v>6.7692307692307704E-2</v>
      </c>
      <c r="G83" s="3">
        <f t="shared" si="7"/>
        <v>0.11223076923076923</v>
      </c>
    </row>
    <row r="84" spans="1:7" x14ac:dyDescent="0.25">
      <c r="A84" s="37">
        <v>66</v>
      </c>
      <c r="B84">
        <f t="shared" ref="B84:B118" si="8">IF($A84&lt;10,$A84,10)</f>
        <v>10</v>
      </c>
      <c r="C84">
        <f t="shared" ref="C84:C118" si="9">IF($A84&lt;10,0,IF($A84&gt;40,30,$A84-10))</f>
        <v>30</v>
      </c>
      <c r="D84">
        <f t="shared" ref="D84:D118" si="10">IF(A84&lt;40,0,A84-40)</f>
        <v>26</v>
      </c>
      <c r="F84" s="3">
        <f t="shared" ref="F84:F118" si="11">(B84*B$13+C84*C$13+D84*D$13)/$A84</f>
        <v>6.7545454545454547E-2</v>
      </c>
      <c r="G84" s="3">
        <f t="shared" ref="G84:G118" si="12">(B84*B$14+C84*C$14+D84*D$14)/$A84</f>
        <v>0.11218181818181817</v>
      </c>
    </row>
    <row r="85" spans="1:7" x14ac:dyDescent="0.25">
      <c r="A85" s="37">
        <v>67</v>
      </c>
      <c r="B85">
        <f t="shared" si="8"/>
        <v>10</v>
      </c>
      <c r="C85">
        <f t="shared" si="9"/>
        <v>30</v>
      </c>
      <c r="D85">
        <f t="shared" si="10"/>
        <v>27</v>
      </c>
      <c r="F85" s="3">
        <f t="shared" si="11"/>
        <v>6.7402985074626873E-2</v>
      </c>
      <c r="G85" s="3">
        <f t="shared" si="12"/>
        <v>0.11213432835820895</v>
      </c>
    </row>
    <row r="86" spans="1:7" x14ac:dyDescent="0.25">
      <c r="A86" s="37">
        <v>68</v>
      </c>
      <c r="B86">
        <f t="shared" si="8"/>
        <v>10</v>
      </c>
      <c r="C86">
        <f t="shared" si="9"/>
        <v>30</v>
      </c>
      <c r="D86">
        <f t="shared" si="10"/>
        <v>28</v>
      </c>
      <c r="F86" s="3">
        <f t="shared" si="11"/>
        <v>6.7264705882352935E-2</v>
      </c>
      <c r="G86" s="3">
        <f t="shared" si="12"/>
        <v>0.11208823529411764</v>
      </c>
    </row>
    <row r="87" spans="1:7" x14ac:dyDescent="0.25">
      <c r="A87" s="37">
        <v>69</v>
      </c>
      <c r="B87">
        <f t="shared" si="8"/>
        <v>10</v>
      </c>
      <c r="C87">
        <f t="shared" si="9"/>
        <v>30</v>
      </c>
      <c r="D87">
        <f t="shared" si="10"/>
        <v>29</v>
      </c>
      <c r="F87" s="3">
        <f t="shared" si="11"/>
        <v>6.7130434782608703E-2</v>
      </c>
      <c r="G87" s="3">
        <f t="shared" si="12"/>
        <v>0.11204347826086956</v>
      </c>
    </row>
    <row r="88" spans="1:7" x14ac:dyDescent="0.25">
      <c r="A88" s="37">
        <v>70</v>
      </c>
      <c r="B88">
        <f t="shared" si="8"/>
        <v>10</v>
      </c>
      <c r="C88">
        <f t="shared" si="9"/>
        <v>30</v>
      </c>
      <c r="D88">
        <f t="shared" si="10"/>
        <v>30</v>
      </c>
      <c r="F88" s="3">
        <f t="shared" si="11"/>
        <v>6.7000000000000004E-2</v>
      </c>
      <c r="G88" s="3">
        <f t="shared" si="12"/>
        <v>0.112</v>
      </c>
    </row>
    <row r="89" spans="1:7" x14ac:dyDescent="0.25">
      <c r="A89" s="37">
        <v>71</v>
      </c>
      <c r="B89">
        <f t="shared" si="8"/>
        <v>10</v>
      </c>
      <c r="C89">
        <f t="shared" si="9"/>
        <v>30</v>
      </c>
      <c r="D89">
        <f t="shared" si="10"/>
        <v>31</v>
      </c>
      <c r="F89" s="3">
        <f t="shared" si="11"/>
        <v>6.6873239436619727E-2</v>
      </c>
      <c r="G89" s="3">
        <f t="shared" si="12"/>
        <v>0.11195774647887324</v>
      </c>
    </row>
    <row r="90" spans="1:7" x14ac:dyDescent="0.25">
      <c r="A90" s="37">
        <v>72</v>
      </c>
      <c r="B90">
        <f t="shared" si="8"/>
        <v>10</v>
      </c>
      <c r="C90">
        <f t="shared" si="9"/>
        <v>30</v>
      </c>
      <c r="D90">
        <f t="shared" si="10"/>
        <v>32</v>
      </c>
      <c r="F90" s="3">
        <f t="shared" si="11"/>
        <v>6.6750000000000004E-2</v>
      </c>
      <c r="G90" s="3">
        <f t="shared" si="12"/>
        <v>0.11191666666666666</v>
      </c>
    </row>
    <row r="91" spans="1:7" x14ac:dyDescent="0.25">
      <c r="A91" s="37">
        <v>73</v>
      </c>
      <c r="B91">
        <f t="shared" si="8"/>
        <v>10</v>
      </c>
      <c r="C91">
        <f t="shared" si="9"/>
        <v>30</v>
      </c>
      <c r="D91">
        <f t="shared" si="10"/>
        <v>33</v>
      </c>
      <c r="F91" s="3">
        <f t="shared" si="11"/>
        <v>6.663013698630138E-2</v>
      </c>
      <c r="G91" s="3">
        <f t="shared" si="12"/>
        <v>0.11187671232876711</v>
      </c>
    </row>
    <row r="92" spans="1:7" x14ac:dyDescent="0.25">
      <c r="A92" s="37">
        <v>74</v>
      </c>
      <c r="B92">
        <f t="shared" si="8"/>
        <v>10</v>
      </c>
      <c r="C92">
        <f t="shared" si="9"/>
        <v>30</v>
      </c>
      <c r="D92">
        <f t="shared" si="10"/>
        <v>34</v>
      </c>
      <c r="F92" s="3">
        <f t="shared" si="11"/>
        <v>6.651351351351352E-2</v>
      </c>
      <c r="G92" s="3">
        <f t="shared" si="12"/>
        <v>0.11183783783783784</v>
      </c>
    </row>
    <row r="93" spans="1:7" x14ac:dyDescent="0.25">
      <c r="A93" s="37">
        <v>75</v>
      </c>
      <c r="B93">
        <f t="shared" si="8"/>
        <v>10</v>
      </c>
      <c r="C93">
        <f t="shared" si="9"/>
        <v>30</v>
      </c>
      <c r="D93">
        <f t="shared" si="10"/>
        <v>35</v>
      </c>
      <c r="F93" s="3">
        <f t="shared" si="11"/>
        <v>6.6400000000000001E-2</v>
      </c>
      <c r="G93" s="3">
        <f t="shared" si="12"/>
        <v>0.1118</v>
      </c>
    </row>
    <row r="94" spans="1:7" x14ac:dyDescent="0.25">
      <c r="A94" s="37">
        <v>76</v>
      </c>
      <c r="B94">
        <f t="shared" si="8"/>
        <v>10</v>
      </c>
      <c r="C94">
        <f t="shared" si="9"/>
        <v>30</v>
      </c>
      <c r="D94">
        <f t="shared" si="10"/>
        <v>36</v>
      </c>
      <c r="F94" s="3">
        <f t="shared" si="11"/>
        <v>6.6289473684210523E-2</v>
      </c>
      <c r="G94" s="3">
        <f t="shared" si="12"/>
        <v>0.11176315789473684</v>
      </c>
    </row>
    <row r="95" spans="1:7" x14ac:dyDescent="0.25">
      <c r="A95" s="37">
        <v>77</v>
      </c>
      <c r="B95">
        <f t="shared" si="8"/>
        <v>10</v>
      </c>
      <c r="C95">
        <f t="shared" si="9"/>
        <v>30</v>
      </c>
      <c r="D95">
        <f t="shared" si="10"/>
        <v>37</v>
      </c>
      <c r="F95" s="3">
        <f t="shared" si="11"/>
        <v>6.6181818181818189E-2</v>
      </c>
      <c r="G95" s="3">
        <f t="shared" si="12"/>
        <v>0.11172727272727274</v>
      </c>
    </row>
    <row r="96" spans="1:7" x14ac:dyDescent="0.25">
      <c r="A96" s="37">
        <v>78</v>
      </c>
      <c r="B96">
        <f t="shared" si="8"/>
        <v>10</v>
      </c>
      <c r="C96">
        <f t="shared" si="9"/>
        <v>30</v>
      </c>
      <c r="D96">
        <f t="shared" si="10"/>
        <v>38</v>
      </c>
      <c r="F96" s="3">
        <f t="shared" si="11"/>
        <v>6.6076923076923075E-2</v>
      </c>
      <c r="G96" s="3">
        <f t="shared" si="12"/>
        <v>0.11169230769230769</v>
      </c>
    </row>
    <row r="97" spans="1:7" x14ac:dyDescent="0.25">
      <c r="A97" s="37">
        <v>79</v>
      </c>
      <c r="B97">
        <f t="shared" si="8"/>
        <v>10</v>
      </c>
      <c r="C97">
        <f t="shared" si="9"/>
        <v>30</v>
      </c>
      <c r="D97">
        <f t="shared" si="10"/>
        <v>39</v>
      </c>
      <c r="F97" s="3">
        <f t="shared" si="11"/>
        <v>6.5974683544303789E-2</v>
      </c>
      <c r="G97" s="3">
        <f t="shared" si="12"/>
        <v>0.11165822784810128</v>
      </c>
    </row>
    <row r="98" spans="1:7" x14ac:dyDescent="0.25">
      <c r="A98" s="37">
        <v>80</v>
      </c>
      <c r="B98">
        <f t="shared" si="8"/>
        <v>10</v>
      </c>
      <c r="C98">
        <f t="shared" si="9"/>
        <v>30</v>
      </c>
      <c r="D98">
        <f t="shared" si="10"/>
        <v>40</v>
      </c>
      <c r="F98" s="3">
        <f t="shared" si="11"/>
        <v>6.5875000000000003E-2</v>
      </c>
      <c r="G98" s="3">
        <f t="shared" si="12"/>
        <v>0.111625</v>
      </c>
    </row>
    <row r="99" spans="1:7" x14ac:dyDescent="0.25">
      <c r="A99" s="37">
        <v>81</v>
      </c>
      <c r="B99">
        <f t="shared" si="8"/>
        <v>10</v>
      </c>
      <c r="C99">
        <f t="shared" si="9"/>
        <v>30</v>
      </c>
      <c r="D99">
        <f t="shared" si="10"/>
        <v>41</v>
      </c>
      <c r="F99" s="3">
        <f t="shared" si="11"/>
        <v>6.5777777777777782E-2</v>
      </c>
      <c r="G99" s="3">
        <f t="shared" si="12"/>
        <v>0.1115925925925926</v>
      </c>
    </row>
    <row r="100" spans="1:7" x14ac:dyDescent="0.25">
      <c r="A100" s="37">
        <v>82</v>
      </c>
      <c r="B100">
        <f t="shared" si="8"/>
        <v>10</v>
      </c>
      <c r="C100">
        <f t="shared" si="9"/>
        <v>30</v>
      </c>
      <c r="D100">
        <f t="shared" si="10"/>
        <v>42</v>
      </c>
      <c r="F100" s="3">
        <f t="shared" si="11"/>
        <v>6.5682926829268296E-2</v>
      </c>
      <c r="G100" s="3">
        <f t="shared" si="12"/>
        <v>0.1115609756097561</v>
      </c>
    </row>
    <row r="101" spans="1:7" x14ac:dyDescent="0.25">
      <c r="A101" s="37">
        <v>83</v>
      </c>
      <c r="B101">
        <f t="shared" si="8"/>
        <v>10</v>
      </c>
      <c r="C101">
        <f t="shared" si="9"/>
        <v>30</v>
      </c>
      <c r="D101">
        <f t="shared" si="10"/>
        <v>43</v>
      </c>
      <c r="F101" s="3">
        <f t="shared" si="11"/>
        <v>6.5590361445783146E-2</v>
      </c>
      <c r="G101" s="3">
        <f t="shared" si="12"/>
        <v>0.11153012048192773</v>
      </c>
    </row>
    <row r="102" spans="1:7" x14ac:dyDescent="0.25">
      <c r="A102" s="37">
        <v>84</v>
      </c>
      <c r="B102">
        <f t="shared" si="8"/>
        <v>10</v>
      </c>
      <c r="C102">
        <f t="shared" si="9"/>
        <v>30</v>
      </c>
      <c r="D102">
        <f t="shared" si="10"/>
        <v>44</v>
      </c>
      <c r="F102" s="3">
        <f t="shared" si="11"/>
        <v>6.5500000000000003E-2</v>
      </c>
      <c r="G102" s="3">
        <f t="shared" si="12"/>
        <v>0.1115</v>
      </c>
    </row>
    <row r="103" spans="1:7" x14ac:dyDescent="0.25">
      <c r="A103" s="37">
        <v>85</v>
      </c>
      <c r="B103">
        <f t="shared" si="8"/>
        <v>10</v>
      </c>
      <c r="C103">
        <f t="shared" si="9"/>
        <v>30</v>
      </c>
      <c r="D103">
        <f t="shared" si="10"/>
        <v>45</v>
      </c>
      <c r="F103" s="3">
        <f t="shared" si="11"/>
        <v>6.5411764705882364E-2</v>
      </c>
      <c r="G103" s="3">
        <f t="shared" si="12"/>
        <v>0.11147058823529414</v>
      </c>
    </row>
    <row r="104" spans="1:7" x14ac:dyDescent="0.25">
      <c r="A104" s="37">
        <v>86</v>
      </c>
      <c r="B104">
        <f t="shared" si="8"/>
        <v>10</v>
      </c>
      <c r="C104">
        <f t="shared" si="9"/>
        <v>30</v>
      </c>
      <c r="D104">
        <f t="shared" si="10"/>
        <v>46</v>
      </c>
      <c r="F104" s="3">
        <f t="shared" si="11"/>
        <v>6.5325581395348845E-2</v>
      </c>
      <c r="G104" s="3">
        <f t="shared" si="12"/>
        <v>0.11144186046511627</v>
      </c>
    </row>
    <row r="105" spans="1:7" x14ac:dyDescent="0.25">
      <c r="A105" s="37">
        <v>87</v>
      </c>
      <c r="B105">
        <f t="shared" si="8"/>
        <v>10</v>
      </c>
      <c r="C105">
        <f t="shared" si="9"/>
        <v>30</v>
      </c>
      <c r="D105">
        <f t="shared" si="10"/>
        <v>47</v>
      </c>
      <c r="F105" s="3">
        <f t="shared" si="11"/>
        <v>6.5241379310344835E-2</v>
      </c>
      <c r="G105" s="3">
        <f t="shared" si="12"/>
        <v>0.11141379310344829</v>
      </c>
    </row>
    <row r="106" spans="1:7" x14ac:dyDescent="0.25">
      <c r="A106" s="37">
        <v>88</v>
      </c>
      <c r="B106">
        <f t="shared" si="8"/>
        <v>10</v>
      </c>
      <c r="C106">
        <f t="shared" si="9"/>
        <v>30</v>
      </c>
      <c r="D106">
        <f t="shared" si="10"/>
        <v>48</v>
      </c>
      <c r="F106" s="3">
        <f t="shared" si="11"/>
        <v>6.5159090909090903E-2</v>
      </c>
      <c r="G106" s="3">
        <f t="shared" si="12"/>
        <v>0.11138636363636363</v>
      </c>
    </row>
    <row r="107" spans="1:7" x14ac:dyDescent="0.25">
      <c r="A107" s="37">
        <v>89</v>
      </c>
      <c r="B107">
        <f t="shared" si="8"/>
        <v>10</v>
      </c>
      <c r="C107">
        <f t="shared" si="9"/>
        <v>30</v>
      </c>
      <c r="D107">
        <f t="shared" si="10"/>
        <v>49</v>
      </c>
      <c r="F107" s="3">
        <f t="shared" si="11"/>
        <v>6.5078651685393257E-2</v>
      </c>
      <c r="G107" s="3">
        <f t="shared" si="12"/>
        <v>0.11135955056179776</v>
      </c>
    </row>
    <row r="108" spans="1:7" x14ac:dyDescent="0.25">
      <c r="A108" s="37">
        <v>90</v>
      </c>
      <c r="B108">
        <f t="shared" si="8"/>
        <v>10</v>
      </c>
      <c r="C108">
        <f t="shared" si="9"/>
        <v>30</v>
      </c>
      <c r="D108">
        <f t="shared" si="10"/>
        <v>50</v>
      </c>
      <c r="F108" s="3">
        <f t="shared" si="11"/>
        <v>6.5000000000000002E-2</v>
      </c>
      <c r="G108" s="3">
        <f t="shared" si="12"/>
        <v>0.11133333333333333</v>
      </c>
    </row>
    <row r="109" spans="1:7" x14ac:dyDescent="0.25">
      <c r="A109" s="37">
        <v>91</v>
      </c>
      <c r="B109">
        <f t="shared" si="8"/>
        <v>10</v>
      </c>
      <c r="C109">
        <f t="shared" si="9"/>
        <v>30</v>
      </c>
      <c r="D109">
        <f t="shared" si="10"/>
        <v>51</v>
      </c>
      <c r="F109" s="3">
        <f t="shared" si="11"/>
        <v>6.4923076923076931E-2</v>
      </c>
      <c r="G109" s="3">
        <f t="shared" si="12"/>
        <v>0.11130769230769232</v>
      </c>
    </row>
    <row r="110" spans="1:7" x14ac:dyDescent="0.25">
      <c r="A110" s="37">
        <v>92</v>
      </c>
      <c r="B110">
        <f t="shared" si="8"/>
        <v>10</v>
      </c>
      <c r="C110">
        <f t="shared" si="9"/>
        <v>30</v>
      </c>
      <c r="D110">
        <f t="shared" si="10"/>
        <v>52</v>
      </c>
      <c r="F110" s="3">
        <f t="shared" si="11"/>
        <v>6.4847826086956523E-2</v>
      </c>
      <c r="G110" s="3">
        <f t="shared" si="12"/>
        <v>0.11128260869565217</v>
      </c>
    </row>
    <row r="111" spans="1:7" x14ac:dyDescent="0.25">
      <c r="A111" s="37">
        <v>93</v>
      </c>
      <c r="B111">
        <f t="shared" si="8"/>
        <v>10</v>
      </c>
      <c r="C111">
        <f t="shared" si="9"/>
        <v>30</v>
      </c>
      <c r="D111">
        <f t="shared" si="10"/>
        <v>53</v>
      </c>
      <c r="F111" s="3">
        <f t="shared" si="11"/>
        <v>6.4774193548387107E-2</v>
      </c>
      <c r="G111" s="3">
        <f t="shared" si="12"/>
        <v>0.11125806451612905</v>
      </c>
    </row>
    <row r="112" spans="1:7" x14ac:dyDescent="0.25">
      <c r="A112" s="37">
        <v>94</v>
      </c>
      <c r="B112">
        <f t="shared" si="8"/>
        <v>10</v>
      </c>
      <c r="C112">
        <f t="shared" si="9"/>
        <v>30</v>
      </c>
      <c r="D112">
        <f t="shared" si="10"/>
        <v>54</v>
      </c>
      <c r="F112" s="3">
        <f t="shared" si="11"/>
        <v>6.4702127659574477E-2</v>
      </c>
      <c r="G112" s="3">
        <f t="shared" si="12"/>
        <v>0.11123404255319148</v>
      </c>
    </row>
    <row r="113" spans="1:7" x14ac:dyDescent="0.25">
      <c r="A113" s="37">
        <v>95</v>
      </c>
      <c r="B113">
        <f t="shared" si="8"/>
        <v>10</v>
      </c>
      <c r="C113">
        <f t="shared" si="9"/>
        <v>30</v>
      </c>
      <c r="D113">
        <f t="shared" si="10"/>
        <v>55</v>
      </c>
      <c r="F113" s="3">
        <f t="shared" si="11"/>
        <v>6.4631578947368429E-2</v>
      </c>
      <c r="G113" s="3">
        <f t="shared" si="12"/>
        <v>0.11121052631578948</v>
      </c>
    </row>
    <row r="114" spans="1:7" x14ac:dyDescent="0.25">
      <c r="A114" s="37">
        <v>96</v>
      </c>
      <c r="B114">
        <f t="shared" si="8"/>
        <v>10</v>
      </c>
      <c r="C114">
        <f t="shared" si="9"/>
        <v>30</v>
      </c>
      <c r="D114">
        <f t="shared" si="10"/>
        <v>56</v>
      </c>
      <c r="F114" s="3">
        <f t="shared" si="11"/>
        <v>6.4562500000000009E-2</v>
      </c>
      <c r="G114" s="3">
        <f t="shared" si="12"/>
        <v>0.11118749999999999</v>
      </c>
    </row>
    <row r="115" spans="1:7" x14ac:dyDescent="0.25">
      <c r="A115" s="37">
        <v>97</v>
      </c>
      <c r="B115">
        <f t="shared" si="8"/>
        <v>10</v>
      </c>
      <c r="C115">
        <f t="shared" si="9"/>
        <v>30</v>
      </c>
      <c r="D115">
        <f t="shared" si="10"/>
        <v>57</v>
      </c>
      <c r="F115" s="3">
        <f t="shared" si="11"/>
        <v>6.449484536082474E-2</v>
      </c>
      <c r="G115" s="3">
        <f t="shared" si="12"/>
        <v>0.11116494845360826</v>
      </c>
    </row>
    <row r="116" spans="1:7" x14ac:dyDescent="0.25">
      <c r="A116" s="37">
        <v>98</v>
      </c>
      <c r="B116">
        <f t="shared" si="8"/>
        <v>10</v>
      </c>
      <c r="C116">
        <f t="shared" si="9"/>
        <v>30</v>
      </c>
      <c r="D116">
        <f t="shared" si="10"/>
        <v>58</v>
      </c>
      <c r="F116" s="3">
        <f t="shared" si="11"/>
        <v>6.4428571428571432E-2</v>
      </c>
      <c r="G116" s="3">
        <f t="shared" si="12"/>
        <v>0.11114285714285714</v>
      </c>
    </row>
    <row r="117" spans="1:7" x14ac:dyDescent="0.25">
      <c r="A117" s="37">
        <v>99</v>
      </c>
      <c r="B117">
        <f t="shared" si="8"/>
        <v>10</v>
      </c>
      <c r="C117">
        <f t="shared" si="9"/>
        <v>30</v>
      </c>
      <c r="D117">
        <f t="shared" si="10"/>
        <v>59</v>
      </c>
      <c r="F117" s="3">
        <f t="shared" si="11"/>
        <v>6.4363636363636359E-2</v>
      </c>
      <c r="G117" s="3">
        <f t="shared" si="12"/>
        <v>0.11112121212121213</v>
      </c>
    </row>
    <row r="118" spans="1:7" x14ac:dyDescent="0.25">
      <c r="A118" s="37">
        <v>100</v>
      </c>
      <c r="B118">
        <f t="shared" si="8"/>
        <v>10</v>
      </c>
      <c r="C118">
        <f t="shared" si="9"/>
        <v>30</v>
      </c>
      <c r="D118">
        <f t="shared" si="10"/>
        <v>60</v>
      </c>
      <c r="F118" s="3">
        <f t="shared" si="11"/>
        <v>6.4299999999999996E-2</v>
      </c>
      <c r="G118" s="3">
        <f t="shared" si="12"/>
        <v>0.11109999999999999</v>
      </c>
    </row>
    <row r="119" spans="1:7" x14ac:dyDescent="0.25">
      <c r="A119" s="37">
        <v>101</v>
      </c>
      <c r="F119" s="3" t="s">
        <v>59</v>
      </c>
      <c r="G119" s="3" t="s">
        <v>59</v>
      </c>
    </row>
  </sheetData>
  <hyperlinks>
    <hyperlink ref="G5" r:id="rId1" display="https://www.solarwirtschaft.de/datawall/uploads/2023/01/bsw_verguetungssaetze_aktuell.pdf" xr:uid="{FDF05803-4D2A-4CB2-8AFF-3A675B1C6F59}"/>
    <hyperlink ref="G6" r:id="rId2" display="https://www.solarwirtschaft.de/datawall/uploads/2023/01/bsw_verguetungssaetze_aktuell.pdf" xr:uid="{33E50394-E74C-4B84-AE94-ABBE8F34131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BE21-44AA-4BE0-9890-A70CB72F5A13}">
  <dimension ref="A1:H25"/>
  <sheetViews>
    <sheetView workbookViewId="0">
      <selection activeCell="B13" sqref="B13"/>
    </sheetView>
  </sheetViews>
  <sheetFormatPr defaultRowHeight="15" x14ac:dyDescent="0.25"/>
  <cols>
    <col min="1" max="1" width="20.140625" customWidth="1"/>
    <col min="2" max="2" width="12.7109375" customWidth="1"/>
    <col min="6" max="7" width="16.140625" customWidth="1"/>
    <col min="8" max="8" width="14.5703125" customWidth="1"/>
  </cols>
  <sheetData>
    <row r="1" spans="1:8" x14ac:dyDescent="0.25">
      <c r="A1" t="s">
        <v>108</v>
      </c>
    </row>
    <row r="3" spans="1:8" x14ac:dyDescent="0.25">
      <c r="A3" s="81" t="s">
        <v>98</v>
      </c>
      <c r="B3" s="81"/>
      <c r="C3" s="81"/>
      <c r="E3" s="82" t="s">
        <v>99</v>
      </c>
      <c r="F3" s="83"/>
      <c r="G3" s="83"/>
      <c r="H3" s="83"/>
    </row>
    <row r="4" spans="1:8" x14ac:dyDescent="0.25">
      <c r="A4" t="s">
        <v>100</v>
      </c>
      <c r="B4" s="84">
        <v>10000</v>
      </c>
      <c r="E4" s="85" t="s">
        <v>101</v>
      </c>
      <c r="F4" s="86" t="s">
        <v>102</v>
      </c>
      <c r="G4" s="87" t="s">
        <v>103</v>
      </c>
      <c r="H4" s="87" t="s">
        <v>104</v>
      </c>
    </row>
    <row r="5" spans="1:8" x14ac:dyDescent="0.25">
      <c r="A5" t="s">
        <v>4</v>
      </c>
      <c r="B5">
        <v>8</v>
      </c>
      <c r="C5" t="s">
        <v>2</v>
      </c>
      <c r="E5" s="88">
        <v>1</v>
      </c>
      <c r="F5" s="49">
        <f>B4</f>
        <v>10000</v>
      </c>
      <c r="G5" s="49">
        <f>B$9*F5</f>
        <v>1214.9488489149733</v>
      </c>
      <c r="H5" s="49">
        <f>-$B$8</f>
        <v>-1250</v>
      </c>
    </row>
    <row r="6" spans="1:8" x14ac:dyDescent="0.25">
      <c r="B6" s="84"/>
      <c r="C6" s="2"/>
      <c r="E6" s="88">
        <v>2</v>
      </c>
      <c r="F6" s="49">
        <f t="shared" ref="F6:F25" si="0">F5+H5+G5</f>
        <v>9964.9488489149735</v>
      </c>
      <c r="G6" s="49">
        <f t="shared" ref="G6:G24" si="1">B$9*F6</f>
        <v>1210.6903133485835</v>
      </c>
      <c r="H6" s="49">
        <f t="shared" ref="H6:H24" si="2">-$B$8</f>
        <v>-1250</v>
      </c>
    </row>
    <row r="7" spans="1:8" x14ac:dyDescent="0.25">
      <c r="A7" s="81" t="s">
        <v>105</v>
      </c>
      <c r="B7" s="81"/>
      <c r="C7" s="81"/>
      <c r="E7" s="88">
        <v>3</v>
      </c>
      <c r="F7" s="49">
        <f>F6+H6+G6</f>
        <v>9925.6391622635565</v>
      </c>
      <c r="G7" s="49">
        <f t="shared" si="1"/>
        <v>1205.9143874937486</v>
      </c>
      <c r="H7" s="49">
        <f t="shared" si="2"/>
        <v>-1250</v>
      </c>
    </row>
    <row r="8" spans="1:8" x14ac:dyDescent="0.25">
      <c r="A8" t="s">
        <v>106</v>
      </c>
      <c r="B8" s="49">
        <f>B4/B5</f>
        <v>1250</v>
      </c>
      <c r="C8" s="89"/>
      <c r="E8" s="88">
        <v>4</v>
      </c>
      <c r="F8" s="49">
        <f t="shared" si="0"/>
        <v>9881.5535497573055</v>
      </c>
      <c r="G8" s="49">
        <f t="shared" si="1"/>
        <v>1200.5582110769305</v>
      </c>
      <c r="H8" s="49">
        <f t="shared" si="2"/>
        <v>-1250</v>
      </c>
    </row>
    <row r="9" spans="1:8" x14ac:dyDescent="0.25">
      <c r="A9" t="s">
        <v>103</v>
      </c>
      <c r="B9" s="90">
        <v>0.12149488489149732</v>
      </c>
      <c r="E9" s="88">
        <v>5</v>
      </c>
      <c r="F9" s="49">
        <f t="shared" si="0"/>
        <v>9832.1117608342356</v>
      </c>
      <c r="G9" s="49">
        <f t="shared" si="1"/>
        <v>1194.5512866228926</v>
      </c>
      <c r="H9" s="49">
        <f t="shared" si="2"/>
        <v>-1250</v>
      </c>
    </row>
    <row r="10" spans="1:8" x14ac:dyDescent="0.25">
      <c r="E10" s="88">
        <v>6</v>
      </c>
      <c r="F10" s="49">
        <f t="shared" si="0"/>
        <v>9776.6630474571284</v>
      </c>
      <c r="G10" s="49">
        <f t="shared" si="1"/>
        <v>1187.8145515737592</v>
      </c>
      <c r="H10" s="49">
        <f t="shared" si="2"/>
        <v>-1250</v>
      </c>
    </row>
    <row r="11" spans="1:8" x14ac:dyDescent="0.25">
      <c r="E11" s="88">
        <v>7</v>
      </c>
      <c r="F11" s="49">
        <f t="shared" si="0"/>
        <v>9714.4775990308881</v>
      </c>
      <c r="G11" s="49">
        <f t="shared" si="1"/>
        <v>1180.259337675287</v>
      </c>
      <c r="H11" s="49">
        <f t="shared" si="2"/>
        <v>-1250</v>
      </c>
    </row>
    <row r="12" spans="1:8" x14ac:dyDescent="0.25">
      <c r="E12" s="88">
        <v>8</v>
      </c>
      <c r="F12" s="49">
        <f t="shared" si="0"/>
        <v>9644.7369367061747</v>
      </c>
      <c r="G12" s="49">
        <f t="shared" si="1"/>
        <v>1171.7862039338891</v>
      </c>
      <c r="H12" s="49">
        <f t="shared" si="2"/>
        <v>-1250</v>
      </c>
    </row>
    <row r="13" spans="1:8" x14ac:dyDescent="0.25">
      <c r="B13" s="49"/>
      <c r="E13" s="88">
        <v>9</v>
      </c>
      <c r="F13" s="49">
        <f t="shared" si="0"/>
        <v>9566.5231406400635</v>
      </c>
      <c r="G13" s="49">
        <f t="shared" si="1"/>
        <v>1162.2836277839099</v>
      </c>
      <c r="H13" s="49">
        <f t="shared" si="2"/>
        <v>-1250</v>
      </c>
    </row>
    <row r="14" spans="1:8" x14ac:dyDescent="0.25">
      <c r="E14" s="88">
        <v>10</v>
      </c>
      <c r="F14" s="49">
        <f t="shared" si="0"/>
        <v>9478.8067684239741</v>
      </c>
      <c r="G14" s="49">
        <f t="shared" si="1"/>
        <v>1151.6265372384164</v>
      </c>
      <c r="H14" s="49">
        <f t="shared" si="2"/>
        <v>-1250</v>
      </c>
    </row>
    <row r="15" spans="1:8" x14ac:dyDescent="0.25">
      <c r="B15" s="49"/>
      <c r="E15" s="88">
        <v>11</v>
      </c>
      <c r="F15" s="49">
        <f t="shared" si="0"/>
        <v>9380.4333056623909</v>
      </c>
      <c r="G15" s="49">
        <f t="shared" si="1"/>
        <v>1139.6746647038199</v>
      </c>
      <c r="H15" s="49">
        <f t="shared" si="2"/>
        <v>-1250</v>
      </c>
    </row>
    <row r="16" spans="1:8" x14ac:dyDescent="0.25">
      <c r="C16" s="2"/>
      <c r="E16" s="88">
        <v>12</v>
      </c>
      <c r="F16" s="49">
        <f t="shared" si="0"/>
        <v>9270.1079703662108</v>
      </c>
      <c r="G16" s="49">
        <f t="shared" si="1"/>
        <v>1126.2707007913946</v>
      </c>
      <c r="H16" s="49">
        <f t="shared" si="2"/>
        <v>-1250</v>
      </c>
    </row>
    <row r="17" spans="2:8" x14ac:dyDescent="0.25">
      <c r="E17" s="88">
        <v>13</v>
      </c>
      <c r="F17" s="49">
        <f t="shared" si="0"/>
        <v>9146.3786711576049</v>
      </c>
      <c r="G17" s="49">
        <f t="shared" si="1"/>
        <v>1111.2382238263394</v>
      </c>
      <c r="H17" s="49">
        <f t="shared" si="2"/>
        <v>-1250</v>
      </c>
    </row>
    <row r="18" spans="2:8" x14ac:dyDescent="0.25">
      <c r="E18" s="88">
        <v>14</v>
      </c>
      <c r="F18" s="49">
        <f t="shared" si="0"/>
        <v>9007.6168949839448</v>
      </c>
      <c r="G18" s="49">
        <f t="shared" si="1"/>
        <v>1094.3793778027809</v>
      </c>
      <c r="H18" s="49">
        <f t="shared" si="2"/>
        <v>-1250</v>
      </c>
    </row>
    <row r="19" spans="2:8" x14ac:dyDescent="0.25">
      <c r="B19" s="91"/>
      <c r="E19" s="88">
        <v>15</v>
      </c>
      <c r="F19" s="49">
        <f t="shared" si="0"/>
        <v>8851.996272786726</v>
      </c>
      <c r="G19" s="49">
        <f t="shared" si="1"/>
        <v>1075.4722682221866</v>
      </c>
      <c r="H19" s="49">
        <f t="shared" si="2"/>
        <v>-1250</v>
      </c>
    </row>
    <row r="20" spans="2:8" x14ac:dyDescent="0.25">
      <c r="B20" s="92"/>
      <c r="E20" s="88">
        <v>16</v>
      </c>
      <c r="F20" s="49">
        <f t="shared" si="0"/>
        <v>8677.4685410089132</v>
      </c>
      <c r="G20" s="49">
        <f t="shared" si="1"/>
        <v>1054.268041539467</v>
      </c>
      <c r="H20" s="49">
        <f t="shared" si="2"/>
        <v>-1250</v>
      </c>
    </row>
    <row r="21" spans="2:8" x14ac:dyDescent="0.25">
      <c r="E21" s="88">
        <v>17</v>
      </c>
      <c r="F21" s="49">
        <f t="shared" si="0"/>
        <v>8481.7365825483794</v>
      </c>
      <c r="G21" s="49">
        <f t="shared" si="1"/>
        <v>1030.4876097767171</v>
      </c>
      <c r="H21" s="49">
        <f t="shared" si="2"/>
        <v>-1250</v>
      </c>
    </row>
    <row r="22" spans="2:8" x14ac:dyDescent="0.25">
      <c r="E22" s="88">
        <v>18</v>
      </c>
      <c r="F22" s="49">
        <f t="shared" si="0"/>
        <v>8262.2241923250967</v>
      </c>
      <c r="G22" s="49">
        <f t="shared" si="1"/>
        <v>1003.817977194282</v>
      </c>
      <c r="H22" s="49">
        <f t="shared" si="2"/>
        <v>-1250</v>
      </c>
    </row>
    <row r="23" spans="2:8" x14ac:dyDescent="0.25">
      <c r="E23" s="88">
        <v>19</v>
      </c>
      <c r="F23" s="49">
        <f t="shared" si="0"/>
        <v>8016.0421695193791</v>
      </c>
      <c r="G23" s="49">
        <f t="shared" si="1"/>
        <v>973.90812067114541</v>
      </c>
      <c r="H23" s="49">
        <f t="shared" si="2"/>
        <v>-1250</v>
      </c>
    </row>
    <row r="24" spans="2:8" x14ac:dyDescent="0.25">
      <c r="E24" s="88">
        <v>20</v>
      </c>
      <c r="F24" s="49">
        <f t="shared" si="0"/>
        <v>7739.9502901905244</v>
      </c>
      <c r="G24" s="49">
        <f t="shared" si="1"/>
        <v>940.36436957260901</v>
      </c>
      <c r="H24" s="49">
        <f t="shared" si="2"/>
        <v>-1250</v>
      </c>
    </row>
    <row r="25" spans="2:8" x14ac:dyDescent="0.25">
      <c r="E25" s="88">
        <v>21</v>
      </c>
      <c r="F25" s="93">
        <f t="shared" si="0"/>
        <v>7430.314659763133</v>
      </c>
      <c r="G25" s="49"/>
      <c r="H25" s="4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376A-A417-42F8-A7E6-F4B55C36AD19}">
  <dimension ref="A2:G41"/>
  <sheetViews>
    <sheetView workbookViewId="0">
      <selection activeCell="A20" sqref="A20"/>
    </sheetView>
  </sheetViews>
  <sheetFormatPr defaultRowHeight="15" x14ac:dyDescent="0.25"/>
  <cols>
    <col min="1" max="1" width="23.28515625" customWidth="1"/>
    <col min="2" max="2" width="11" bestFit="1" customWidth="1"/>
    <col min="3" max="3" width="5.5703125" customWidth="1"/>
    <col min="5" max="7" width="12.5703125" style="91" customWidth="1"/>
  </cols>
  <sheetData>
    <row r="2" spans="1:7" x14ac:dyDescent="0.25">
      <c r="A2" s="100" t="s">
        <v>98</v>
      </c>
      <c r="B2" s="100"/>
      <c r="D2" s="100" t="s">
        <v>125</v>
      </c>
      <c r="E2" s="101"/>
      <c r="F2" s="101"/>
      <c r="G2" s="101"/>
    </row>
    <row r="3" spans="1:7" x14ac:dyDescent="0.25">
      <c r="A3" t="s">
        <v>124</v>
      </c>
      <c r="B3" s="84">
        <v>2914</v>
      </c>
      <c r="D3" t="s">
        <v>101</v>
      </c>
      <c r="E3" s="91" t="s">
        <v>126</v>
      </c>
      <c r="F3" s="91" t="s">
        <v>120</v>
      </c>
      <c r="G3" s="91" t="s">
        <v>127</v>
      </c>
    </row>
    <row r="4" spans="1:7" x14ac:dyDescent="0.25">
      <c r="A4" t="s">
        <v>120</v>
      </c>
      <c r="B4" s="99">
        <v>7.0000000000000007E-2</v>
      </c>
      <c r="D4">
        <v>0</v>
      </c>
      <c r="E4" s="91">
        <f>B3</f>
        <v>2914</v>
      </c>
      <c r="F4" s="91">
        <f t="shared" ref="F4:F41" si="0">B$4*E4</f>
        <v>203.98000000000002</v>
      </c>
      <c r="G4" s="91">
        <f>B$8</f>
        <v>404.40000000000003</v>
      </c>
    </row>
    <row r="5" spans="1:7" x14ac:dyDescent="0.25">
      <c r="A5" t="s">
        <v>129</v>
      </c>
      <c r="B5" s="91">
        <v>33.700000000000003</v>
      </c>
      <c r="D5">
        <v>1</v>
      </c>
      <c r="E5" s="91">
        <f>E4+F4-G4</f>
        <v>2713.58</v>
      </c>
      <c r="F5" s="91">
        <f t="shared" si="0"/>
        <v>189.95060000000001</v>
      </c>
      <c r="G5" s="91">
        <f t="shared" ref="G5:G7" si="1">B$8</f>
        <v>404.40000000000003</v>
      </c>
    </row>
    <row r="6" spans="1:7" x14ac:dyDescent="0.25">
      <c r="D6">
        <v>2</v>
      </c>
      <c r="E6" s="91">
        <f t="shared" ref="E6:E7" si="2">E5+F5-G5</f>
        <v>2499.1306</v>
      </c>
      <c r="F6" s="91">
        <f t="shared" si="0"/>
        <v>174.939142</v>
      </c>
      <c r="G6" s="91">
        <f t="shared" si="1"/>
        <v>404.40000000000003</v>
      </c>
    </row>
    <row r="7" spans="1:7" x14ac:dyDescent="0.25">
      <c r="A7" s="100" t="s">
        <v>105</v>
      </c>
      <c r="B7" s="100"/>
      <c r="D7">
        <v>3</v>
      </c>
      <c r="E7" s="91">
        <f t="shared" si="2"/>
        <v>2269.669742</v>
      </c>
      <c r="F7" s="91">
        <f t="shared" si="0"/>
        <v>158.87688194</v>
      </c>
      <c r="G7" s="91">
        <f t="shared" si="1"/>
        <v>404.40000000000003</v>
      </c>
    </row>
    <row r="8" spans="1:7" x14ac:dyDescent="0.25">
      <c r="A8" t="s">
        <v>128</v>
      </c>
      <c r="B8" s="49">
        <f>B5*12</f>
        <v>404.40000000000003</v>
      </c>
      <c r="D8">
        <v>4</v>
      </c>
      <c r="E8" s="91">
        <f t="shared" ref="E8:E41" si="3">E7+F7-G7</f>
        <v>2024.1466239400002</v>
      </c>
      <c r="F8" s="91">
        <f t="shared" si="0"/>
        <v>141.69026367580003</v>
      </c>
      <c r="G8" s="91">
        <f t="shared" ref="G8:G41" si="4">B$8</f>
        <v>404.40000000000003</v>
      </c>
    </row>
    <row r="9" spans="1:7" x14ac:dyDescent="0.25">
      <c r="A9" t="s">
        <v>130</v>
      </c>
      <c r="B9" s="102">
        <f>NPER(B4,B5*12,-B3,0,0)</f>
        <v>10.375455885551959</v>
      </c>
      <c r="D9">
        <v>5</v>
      </c>
      <c r="E9" s="91">
        <f t="shared" si="3"/>
        <v>1761.4368876158001</v>
      </c>
      <c r="F9" s="91">
        <f t="shared" si="0"/>
        <v>123.30058213310602</v>
      </c>
      <c r="G9" s="91">
        <f t="shared" si="4"/>
        <v>404.40000000000003</v>
      </c>
    </row>
    <row r="10" spans="1:7" x14ac:dyDescent="0.25">
      <c r="D10">
        <v>6</v>
      </c>
      <c r="E10" s="91">
        <f t="shared" si="3"/>
        <v>1480.337469748906</v>
      </c>
      <c r="F10" s="91">
        <f t="shared" si="0"/>
        <v>103.62362288242343</v>
      </c>
      <c r="G10" s="91">
        <f t="shared" si="4"/>
        <v>404.40000000000003</v>
      </c>
    </row>
    <row r="11" spans="1:7" x14ac:dyDescent="0.25">
      <c r="D11">
        <v>7</v>
      </c>
      <c r="E11" s="91">
        <f t="shared" si="3"/>
        <v>1179.5610926313293</v>
      </c>
      <c r="F11" s="91">
        <f t="shared" si="0"/>
        <v>82.569276484193054</v>
      </c>
      <c r="G11" s="91">
        <f t="shared" si="4"/>
        <v>404.40000000000003</v>
      </c>
    </row>
    <row r="12" spans="1:7" x14ac:dyDescent="0.25">
      <c r="D12">
        <v>8</v>
      </c>
      <c r="E12" s="91">
        <f t="shared" si="3"/>
        <v>857.73036911552231</v>
      </c>
      <c r="F12" s="91">
        <f t="shared" si="0"/>
        <v>60.041125838086565</v>
      </c>
      <c r="G12" s="91">
        <f t="shared" si="4"/>
        <v>404.40000000000003</v>
      </c>
    </row>
    <row r="13" spans="1:7" x14ac:dyDescent="0.25">
      <c r="D13">
        <v>9</v>
      </c>
      <c r="E13" s="91">
        <f t="shared" si="3"/>
        <v>513.37149495360882</v>
      </c>
      <c r="F13" s="91">
        <f t="shared" si="0"/>
        <v>35.936004646752622</v>
      </c>
      <c r="G13" s="91">
        <f t="shared" si="4"/>
        <v>404.40000000000003</v>
      </c>
    </row>
    <row r="14" spans="1:7" x14ac:dyDescent="0.25">
      <c r="D14">
        <v>10</v>
      </c>
      <c r="E14" s="91">
        <f t="shared" si="3"/>
        <v>144.9074996003614</v>
      </c>
      <c r="F14" s="91">
        <f t="shared" si="0"/>
        <v>10.143524972025299</v>
      </c>
      <c r="G14" s="91">
        <f t="shared" si="4"/>
        <v>404.40000000000003</v>
      </c>
    </row>
    <row r="15" spans="1:7" x14ac:dyDescent="0.25">
      <c r="D15">
        <v>11</v>
      </c>
      <c r="E15" s="91">
        <f t="shared" si="3"/>
        <v>-249.34897542761334</v>
      </c>
      <c r="F15" s="91">
        <f t="shared" si="0"/>
        <v>-17.454428279932934</v>
      </c>
      <c r="G15" s="91">
        <f t="shared" si="4"/>
        <v>404.40000000000003</v>
      </c>
    </row>
    <row r="16" spans="1:7" x14ac:dyDescent="0.25">
      <c r="D16">
        <v>12</v>
      </c>
      <c r="E16" s="91">
        <f t="shared" si="3"/>
        <v>-671.20340370754639</v>
      </c>
      <c r="F16" s="91">
        <f t="shared" si="0"/>
        <v>-46.984238259528254</v>
      </c>
      <c r="G16" s="91">
        <f t="shared" si="4"/>
        <v>404.40000000000003</v>
      </c>
    </row>
    <row r="17" spans="4:7" x14ac:dyDescent="0.25">
      <c r="D17">
        <v>13</v>
      </c>
      <c r="E17" s="91">
        <f t="shared" si="3"/>
        <v>-1122.5876419670747</v>
      </c>
      <c r="F17" s="91">
        <f t="shared" si="0"/>
        <v>-78.581134937695239</v>
      </c>
      <c r="G17" s="91">
        <f t="shared" si="4"/>
        <v>404.40000000000003</v>
      </c>
    </row>
    <row r="18" spans="4:7" x14ac:dyDescent="0.25">
      <c r="D18">
        <v>14</v>
      </c>
      <c r="E18" s="91">
        <f t="shared" si="3"/>
        <v>-1605.5687769047699</v>
      </c>
      <c r="F18" s="91">
        <f t="shared" si="0"/>
        <v>-112.38981438333391</v>
      </c>
      <c r="G18" s="91">
        <f t="shared" si="4"/>
        <v>404.40000000000003</v>
      </c>
    </row>
    <row r="19" spans="4:7" x14ac:dyDescent="0.25">
      <c r="D19">
        <v>15</v>
      </c>
      <c r="E19" s="91">
        <f t="shared" si="3"/>
        <v>-2122.358591288104</v>
      </c>
      <c r="F19" s="91">
        <f t="shared" si="0"/>
        <v>-148.56510139016729</v>
      </c>
      <c r="G19" s="91">
        <f t="shared" si="4"/>
        <v>404.40000000000003</v>
      </c>
    </row>
    <row r="20" spans="4:7" x14ac:dyDescent="0.25">
      <c r="D20">
        <v>16</v>
      </c>
      <c r="E20" s="91">
        <f t="shared" si="3"/>
        <v>-2675.3236926782715</v>
      </c>
      <c r="F20" s="91">
        <f t="shared" si="0"/>
        <v>-187.27265848747902</v>
      </c>
      <c r="G20" s="91">
        <f t="shared" si="4"/>
        <v>404.40000000000003</v>
      </c>
    </row>
    <row r="21" spans="4:7" x14ac:dyDescent="0.25">
      <c r="D21">
        <v>17</v>
      </c>
      <c r="E21" s="91">
        <f t="shared" si="3"/>
        <v>-3266.9963511657506</v>
      </c>
      <c r="F21" s="91">
        <f t="shared" si="0"/>
        <v>-228.68974458160255</v>
      </c>
      <c r="G21" s="91">
        <f t="shared" si="4"/>
        <v>404.40000000000003</v>
      </c>
    </row>
    <row r="22" spans="4:7" x14ac:dyDescent="0.25">
      <c r="D22">
        <v>18</v>
      </c>
      <c r="E22" s="91">
        <f t="shared" si="3"/>
        <v>-3900.0860957473533</v>
      </c>
      <c r="F22" s="91">
        <f t="shared" si="0"/>
        <v>-273.00602670231473</v>
      </c>
      <c r="G22" s="91">
        <f t="shared" si="4"/>
        <v>404.40000000000003</v>
      </c>
    </row>
    <row r="23" spans="4:7" x14ac:dyDescent="0.25">
      <c r="D23">
        <v>19</v>
      </c>
      <c r="E23" s="91">
        <f t="shared" si="3"/>
        <v>-4577.4921224496675</v>
      </c>
      <c r="F23" s="91">
        <f t="shared" si="0"/>
        <v>-320.42444857147677</v>
      </c>
      <c r="G23" s="91">
        <f t="shared" si="4"/>
        <v>404.40000000000003</v>
      </c>
    </row>
    <row r="24" spans="4:7" x14ac:dyDescent="0.25">
      <c r="D24">
        <v>20</v>
      </c>
      <c r="E24" s="91">
        <f t="shared" si="3"/>
        <v>-5302.3165710211442</v>
      </c>
      <c r="F24" s="91">
        <f t="shared" si="0"/>
        <v>-371.16215997148015</v>
      </c>
      <c r="G24" s="91">
        <f t="shared" si="4"/>
        <v>404.40000000000003</v>
      </c>
    </row>
    <row r="25" spans="4:7" x14ac:dyDescent="0.25">
      <c r="D25">
        <v>21</v>
      </c>
      <c r="E25" s="91">
        <f t="shared" si="3"/>
        <v>-6077.8787309926238</v>
      </c>
      <c r="F25" s="91">
        <f t="shared" si="0"/>
        <v>-425.45151116948369</v>
      </c>
      <c r="G25" s="91">
        <f t="shared" si="4"/>
        <v>404.40000000000003</v>
      </c>
    </row>
    <row r="26" spans="4:7" x14ac:dyDescent="0.25">
      <c r="D26">
        <v>22</v>
      </c>
      <c r="E26" s="91">
        <f t="shared" si="3"/>
        <v>-6907.7302421621071</v>
      </c>
      <c r="F26" s="91">
        <f t="shared" si="0"/>
        <v>-483.54111695134753</v>
      </c>
      <c r="G26" s="91">
        <f t="shared" si="4"/>
        <v>404.40000000000003</v>
      </c>
    </row>
    <row r="27" spans="4:7" x14ac:dyDescent="0.25">
      <c r="D27">
        <v>23</v>
      </c>
      <c r="E27" s="91">
        <f t="shared" si="3"/>
        <v>-7795.6713591134539</v>
      </c>
      <c r="F27" s="91">
        <f t="shared" si="0"/>
        <v>-545.69699513794183</v>
      </c>
      <c r="G27" s="91">
        <f t="shared" si="4"/>
        <v>404.40000000000003</v>
      </c>
    </row>
    <row r="28" spans="4:7" x14ac:dyDescent="0.25">
      <c r="D28">
        <v>24</v>
      </c>
      <c r="E28" s="91">
        <f t="shared" si="3"/>
        <v>-8745.7683542513951</v>
      </c>
      <c r="F28" s="91">
        <f t="shared" si="0"/>
        <v>-612.20378479759768</v>
      </c>
      <c r="G28" s="91">
        <f t="shared" si="4"/>
        <v>404.40000000000003</v>
      </c>
    </row>
    <row r="29" spans="4:7" x14ac:dyDescent="0.25">
      <c r="D29">
        <v>25</v>
      </c>
      <c r="E29" s="91">
        <f t="shared" si="3"/>
        <v>-9762.3721390489918</v>
      </c>
      <c r="F29" s="91">
        <f t="shared" si="0"/>
        <v>-683.36604973342946</v>
      </c>
      <c r="G29" s="91">
        <f t="shared" si="4"/>
        <v>404.40000000000003</v>
      </c>
    </row>
    <row r="30" spans="4:7" x14ac:dyDescent="0.25">
      <c r="D30">
        <v>26</v>
      </c>
      <c r="E30" s="91">
        <f t="shared" si="3"/>
        <v>-10850.138188782421</v>
      </c>
      <c r="F30" s="91">
        <f t="shared" si="0"/>
        <v>-759.50967321476958</v>
      </c>
      <c r="G30" s="91">
        <f t="shared" si="4"/>
        <v>404.40000000000003</v>
      </c>
    </row>
    <row r="31" spans="4:7" x14ac:dyDescent="0.25">
      <c r="D31">
        <v>27</v>
      </c>
      <c r="E31" s="91">
        <f t="shared" si="3"/>
        <v>-12014.047861997191</v>
      </c>
      <c r="F31" s="91">
        <f t="shared" si="0"/>
        <v>-840.98335033980345</v>
      </c>
      <c r="G31" s="91">
        <f t="shared" si="4"/>
        <v>404.40000000000003</v>
      </c>
    </row>
    <row r="32" spans="4:7" x14ac:dyDescent="0.25">
      <c r="D32">
        <v>28</v>
      </c>
      <c r="E32" s="91">
        <f t="shared" si="3"/>
        <v>-13259.431212336995</v>
      </c>
      <c r="F32" s="91">
        <f t="shared" si="0"/>
        <v>-928.16018486358973</v>
      </c>
      <c r="G32" s="91">
        <f t="shared" si="4"/>
        <v>404.40000000000003</v>
      </c>
    </row>
    <row r="33" spans="4:7" x14ac:dyDescent="0.25">
      <c r="D33">
        <v>29</v>
      </c>
      <c r="E33" s="91">
        <f t="shared" si="3"/>
        <v>-14591.991397200583</v>
      </c>
      <c r="F33" s="91">
        <f t="shared" si="0"/>
        <v>-1021.4393978040409</v>
      </c>
      <c r="G33" s="91">
        <f t="shared" si="4"/>
        <v>404.40000000000003</v>
      </c>
    </row>
    <row r="34" spans="4:7" x14ac:dyDescent="0.25">
      <c r="D34">
        <v>30</v>
      </c>
      <c r="E34" s="91">
        <f t="shared" si="3"/>
        <v>-16017.830795004624</v>
      </c>
      <c r="F34" s="91">
        <f t="shared" si="0"/>
        <v>-1121.2481556503237</v>
      </c>
      <c r="G34" s="91">
        <f t="shared" si="4"/>
        <v>404.40000000000003</v>
      </c>
    </row>
    <row r="35" spans="4:7" x14ac:dyDescent="0.25">
      <c r="D35">
        <v>31</v>
      </c>
      <c r="E35" s="91">
        <f t="shared" si="3"/>
        <v>-17543.47895065495</v>
      </c>
      <c r="F35" s="91">
        <f t="shared" si="0"/>
        <v>-1228.0435265458466</v>
      </c>
      <c r="G35" s="91">
        <f t="shared" si="4"/>
        <v>404.40000000000003</v>
      </c>
    </row>
    <row r="36" spans="4:7" x14ac:dyDescent="0.25">
      <c r="D36">
        <v>32</v>
      </c>
      <c r="E36" s="91">
        <f t="shared" si="3"/>
        <v>-19175.922477200798</v>
      </c>
      <c r="F36" s="91">
        <f t="shared" si="0"/>
        <v>-1342.3145734040561</v>
      </c>
      <c r="G36" s="91">
        <f t="shared" si="4"/>
        <v>404.40000000000003</v>
      </c>
    </row>
    <row r="37" spans="4:7" x14ac:dyDescent="0.25">
      <c r="D37">
        <v>33</v>
      </c>
      <c r="E37" s="91">
        <f t="shared" si="3"/>
        <v>-20922.637050604855</v>
      </c>
      <c r="F37" s="91">
        <f t="shared" si="0"/>
        <v>-1464.5845935423399</v>
      </c>
      <c r="G37" s="91">
        <f t="shared" si="4"/>
        <v>404.40000000000003</v>
      </c>
    </row>
    <row r="38" spans="4:7" x14ac:dyDescent="0.25">
      <c r="D38">
        <v>34</v>
      </c>
      <c r="E38" s="91">
        <f t="shared" si="3"/>
        <v>-22791.621644147195</v>
      </c>
      <c r="F38" s="91">
        <f t="shared" si="0"/>
        <v>-1595.4135150903039</v>
      </c>
      <c r="G38" s="91">
        <f t="shared" si="4"/>
        <v>404.40000000000003</v>
      </c>
    </row>
    <row r="39" spans="4:7" x14ac:dyDescent="0.25">
      <c r="D39">
        <v>35</v>
      </c>
      <c r="E39" s="91">
        <f t="shared" si="3"/>
        <v>-24791.435159237502</v>
      </c>
      <c r="F39" s="91">
        <f t="shared" si="0"/>
        <v>-1735.4004611466253</v>
      </c>
      <c r="G39" s="91">
        <f t="shared" si="4"/>
        <v>404.40000000000003</v>
      </c>
    </row>
    <row r="40" spans="4:7" x14ac:dyDescent="0.25">
      <c r="D40">
        <v>36</v>
      </c>
      <c r="E40" s="91">
        <f t="shared" si="3"/>
        <v>-26931.23562038413</v>
      </c>
      <c r="F40" s="91">
        <f t="shared" si="0"/>
        <v>-1885.1864934268892</v>
      </c>
      <c r="G40" s="91">
        <f t="shared" si="4"/>
        <v>404.40000000000003</v>
      </c>
    </row>
    <row r="41" spans="4:7" x14ac:dyDescent="0.25">
      <c r="D41">
        <v>37</v>
      </c>
      <c r="E41" s="91">
        <f t="shared" si="3"/>
        <v>-29220.82211381102</v>
      </c>
      <c r="F41" s="91">
        <f t="shared" si="0"/>
        <v>-2045.4575479667717</v>
      </c>
      <c r="G41" s="91">
        <f t="shared" si="4"/>
        <v>404.40000000000003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Wirtschaftlichkeit &amp; Klima</vt:lpstr>
      <vt:lpstr>Hinweise</vt:lpstr>
      <vt:lpstr>Einspeisevergütung</vt:lpstr>
      <vt:lpstr>Rendite</vt:lpstr>
      <vt:lpstr>Tilgung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2015-06-05T18:17:20Z</dcterms:created>
  <dcterms:modified xsi:type="dcterms:W3CDTF">2024-04-29T06:30:34Z</dcterms:modified>
</cp:coreProperties>
</file>